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10" windowHeight="8310" firstSheet="1" activeTab="1"/>
  </bookViews>
  <sheets>
    <sheet name="Pokyny pro vyplnění" sheetId="1" state="hidden" r:id="rId1"/>
    <sheet name="Stavba" sheetId="2" r:id="rId2"/>
    <sheet name="VzorPolozky" sheetId="3" state="hidden" r:id="rId3"/>
    <sheet name="Polozky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'Polozky'!$1:$7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'Polozky'!$A$1:$X$218</definedName>
    <definedName name="_xlnm.Print_Area" localSheetId="1">'Stavba'!$A$1:$J$66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Uzivatel</author>
    <author>K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  <comment ref="Y6" authorId="1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Z6" authorId="1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<sst xmlns="http://schemas.openxmlformats.org/spreadsheetml/2006/main" count="1150" uniqueCount="377">
  <si>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</si>
  <si>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</si>
  <si>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</si>
  <si>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</si>
  <si>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</si>
  <si>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</si>
  <si>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</si>
  <si>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</si>
  <si>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</si>
  <si>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</si>
  <si>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</si>
  <si>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</si>
  <si>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</si>
  <si>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</si>
  <si>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</si>
  <si>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</si>
  <si>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</si>
  <si>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</si>
  <si>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</si>
  <si>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</si>
  <si>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</si>
  <si>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</si>
  <si>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</si>
  <si>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</si>
  <si>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</si>
  <si>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</si>
  <si>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</si>
  <si>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</si>
  <si>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</si>
  <si>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</si>
  <si>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</si>
  <si>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</si>
  <si>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</si>
  <si>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</si>
  <si>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</si>
  <si>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</si>
  <si>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</si>
  <si>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</si>
  <si>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</si>
  <si>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</si>
  <si>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BUDE URČEN VÝBĚROVÝM ŘÍZENÍM</t>
  </si>
  <si>
    <t>Stavba</t>
  </si>
  <si>
    <t>SO 01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</si>
  <si>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</si>
  <si>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</si>
  <si>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</si>
  <si>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</si>
  <si>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</si>
  <si>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</si>
  <si>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</si>
  <si>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Úpravy povrchů vnitřní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</si>
  <si>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</si>
  <si>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</si>
  <si>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</si>
  <si>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</si>
  <si>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</si>
  <si>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</si>
  <si>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</si>
  <si>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</si>
  <si>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</si>
  <si>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</si>
  <si>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784</t>
  </si>
  <si>
    <t>Malby</t>
  </si>
  <si>
    <t>D96</t>
  </si>
  <si>
    <t>Přesuny suti a vybouraných hmot</t>
  </si>
  <si>
    <t>PSU</t>
  </si>
  <si>
    <t>VN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</si>
  <si>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</si>
  <si>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</si>
  <si>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</si>
  <si>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</si>
  <si>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</si>
  <si>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</si>
  <si>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</si>
  <si>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</si>
  <si>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</si>
  <si>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</si>
  <si>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</si>
  <si>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</si>
  <si>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</si>
  <si>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</si>
  <si>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</si>
  <si>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</si>
  <si>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</si>
  <si>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</si>
  <si>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</si>
  <si>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</si>
  <si>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</si>
  <si>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</si>
  <si>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</si>
  <si>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</si>
  <si>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</si>
  <si>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</si>
  <si>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</si>
  <si>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m3</t>
  </si>
  <si>
    <t>RTS 21/ I</t>
  </si>
  <si>
    <t>Práce</t>
  </si>
  <si>
    <t>POL1_</t>
  </si>
  <si>
    <t>VV</t>
  </si>
  <si>
    <t>POP</t>
  </si>
  <si>
    <t>m2</t>
  </si>
  <si>
    <t>t</t>
  </si>
  <si>
    <t>Indiv</t>
  </si>
  <si>
    <t>m</t>
  </si>
  <si>
    <t>kus</t>
  </si>
  <si>
    <t>Vlastní</t>
  </si>
  <si>
    <t>610991111R00</t>
  </si>
  <si>
    <t>Zakrývání výplní vnitřních otvorů</t>
  </si>
  <si>
    <t>včetně pomocného lešení</t>
  </si>
  <si>
    <t>Přesun hmot</t>
  </si>
  <si>
    <t>POL7_</t>
  </si>
  <si>
    <t>979081111R00</t>
  </si>
  <si>
    <t>Odvoz suti a vybour. hmot na skládku do 1 km</t>
  </si>
  <si>
    <t>Přesun suti</t>
  </si>
  <si>
    <t>POL8_</t>
  </si>
  <si>
    <t>979081121R00</t>
  </si>
  <si>
    <t>Příplatek k odvozu za každý další 1 km</t>
  </si>
  <si>
    <t>979082111R00</t>
  </si>
  <si>
    <t>Vnitrostaveništní doprava suti do 10 m</t>
  </si>
  <si>
    <t>001</t>
  </si>
  <si>
    <t>hod</t>
  </si>
  <si>
    <t>PROST Zlín - projekční kancelář                                                               Tomáš Sýkora</t>
  </si>
  <si>
    <t>D11</t>
  </si>
  <si>
    <t>310238211R00</t>
  </si>
  <si>
    <t>Zazdívka otvorů plochy do 1 m2 cihlami na MVC</t>
  </si>
  <si>
    <t>612425931RT2</t>
  </si>
  <si>
    <t>632443111R00</t>
  </si>
  <si>
    <t>Potěr cementový litý CF20, plocha do 100 m2, tl. 50 mm</t>
  </si>
  <si>
    <t>Omítka vápenná vnitřního ostění a nadpraží - štuková s použitím suché maltové směsi</t>
  </si>
  <si>
    <t>784011222RT2</t>
  </si>
  <si>
    <t>D.1.1</t>
  </si>
  <si>
    <t>Penetrace podkladu - paropropustná 1x</t>
  </si>
  <si>
    <t>961055111R00</t>
  </si>
  <si>
    <t xml:space="preserve">Bourání základů železobetonových </t>
  </si>
  <si>
    <t>919735122R00</t>
  </si>
  <si>
    <t xml:space="preserve">Řezání betonu hl. řezu 5 -10 cm  </t>
  </si>
  <si>
    <t>319201316R00</t>
  </si>
  <si>
    <t>Vyrovnání nerovného povrchu zdiva maltou ze suchých maltových směsí tl. do 20 mm</t>
  </si>
  <si>
    <t>952901111R00</t>
  </si>
  <si>
    <t>Vyčištění budov o výšce podlaží do 4 m</t>
  </si>
  <si>
    <t>Cen. soustava/platnost</t>
  </si>
  <si>
    <t>95 - PC - 01</t>
  </si>
  <si>
    <t>95 - PC - 02</t>
  </si>
  <si>
    <t>95 - PC - 03</t>
  </si>
  <si>
    <t xml:space="preserve">Hodinová zučtovací sazba </t>
  </si>
  <si>
    <t>784402801R00</t>
  </si>
  <si>
    <t xml:space="preserve">Odstranění malby oškrábáním v místnosti H do 3,8 m </t>
  </si>
  <si>
    <t>783</t>
  </si>
  <si>
    <t>Nátěry</t>
  </si>
  <si>
    <t>Zlíně</t>
  </si>
  <si>
    <t>Zlín</t>
  </si>
  <si>
    <t>612473185R00</t>
  </si>
  <si>
    <t>Příplatek za zabudované omítníky v ploše stěn</t>
  </si>
  <si>
    <t>784195422R00</t>
  </si>
  <si>
    <t>784141201R00</t>
  </si>
  <si>
    <t>CELKEM Kč bez DPH</t>
  </si>
  <si>
    <t>979990101R00</t>
  </si>
  <si>
    <t>náměstí Míru 12</t>
  </si>
  <si>
    <t>760 01</t>
  </si>
  <si>
    <t>00283924</t>
  </si>
  <si>
    <t>CZ00283924</t>
  </si>
  <si>
    <t>967031733R00</t>
  </si>
  <si>
    <t xml:space="preserve">Přisekání plošné zdiva cihelného na MVC tl. 15 cm   </t>
  </si>
  <si>
    <t>64</t>
  </si>
  <si>
    <t>Osazování výplní otvorů</t>
  </si>
  <si>
    <t>632421401R00</t>
  </si>
  <si>
    <t xml:space="preserve">Provedení penetrace podkladu  </t>
  </si>
  <si>
    <t>602011199R00</t>
  </si>
  <si>
    <t xml:space="preserve">Penetrace na stěnách velmi savých minerálních podkladů </t>
  </si>
  <si>
    <t>612409991R00</t>
  </si>
  <si>
    <t xml:space="preserve">Začištění omítek kolem oken,dveří apod., s použitím suché maltové směsi  </t>
  </si>
  <si>
    <t>612401191R00</t>
  </si>
  <si>
    <t xml:space="preserve">Omítka malých ploch vnitřních stěn do 0,09 m2 </t>
  </si>
  <si>
    <t>včetně pomocného lešení a penetrace</t>
  </si>
  <si>
    <t>767</t>
  </si>
  <si>
    <t xml:space="preserve">Konstrukce zámečnické </t>
  </si>
  <si>
    <t>767 - PC - 01</t>
  </si>
  <si>
    <t>999281145R00</t>
  </si>
  <si>
    <t xml:space="preserve">Přesun hmot pro opravy a údržbu do výšky 6 m, nošením
</t>
  </si>
  <si>
    <t>784011121R00</t>
  </si>
  <si>
    <t xml:space="preserve">Broušení štuků a nových omítek  </t>
  </si>
  <si>
    <t>979082121R00</t>
  </si>
  <si>
    <t xml:space="preserve">Příplatek k vnitrost. dopravě suti za dalších 5 m  </t>
  </si>
  <si>
    <t>Konstrukce zámečnické</t>
  </si>
  <si>
    <t>Zakrytí podlah včetně odstranění a papírové lepenky s PE fólií</t>
  </si>
  <si>
    <t>Nátěr nesavých podkladů, adhézní můstek</t>
  </si>
  <si>
    <t xml:space="preserve">včetně dodávky materiálu </t>
  </si>
  <si>
    <t>632411901R00</t>
  </si>
  <si>
    <t>D+M ocelových trnů do soklu včetně chemické malty</t>
  </si>
  <si>
    <t>Úprava napojení do stávajícího komínového nerezového tělesa</t>
  </si>
  <si>
    <t>soub.</t>
  </si>
  <si>
    <t>Vedlejší a ostatní náklady</t>
  </si>
  <si>
    <t>005211010R</t>
  </si>
  <si>
    <t>Předání a převzetí staveniště</t>
  </si>
  <si>
    <t>Soubor</t>
  </si>
  <si>
    <t>VRN</t>
  </si>
  <si>
    <t>POL99_2</t>
  </si>
  <si>
    <t>Náklady spojené s účastí zhotovitele na předání a převzetí staveniště.</t>
  </si>
  <si>
    <t>005121010R</t>
  </si>
  <si>
    <t>Vybudování zařízení staveniště</t>
  </si>
  <si>
    <t>Náklady spojené s případným zřízením přípojek energií k objektům zařízení staveniště, vybudování případných měřících odběrných míst a zřízení, případná příprava staveniště - oplocení.</t>
  </si>
  <si>
    <t>005122010R</t>
  </si>
  <si>
    <t xml:space="preserve">Provoz zařízení staveniště </t>
  </si>
  <si>
    <t>Náklady na ztížené provádění stavebních prací v důsledku nepřerušeného provozu na staveništi nebo v případech nepřerušeného provozu v objektech v nichž se stavební práce provádí.</t>
  </si>
  <si>
    <t>005121030R</t>
  </si>
  <si>
    <t>Odstranění zařízení staveniště</t>
  </si>
  <si>
    <t>Odstranění objektů zařízení staveniště včetně přípojek energií a jejich odvoz. Položka zahrnuje i náklady na úpravu povrchů po zrušení staveniště a kompletní úklid ploch, na kterých bylo staveniště provozováno.</t>
  </si>
  <si>
    <t>005211080R</t>
  </si>
  <si>
    <t xml:space="preserve">Bezpečnostní a hygienická opatření na staveništi </t>
  </si>
  <si>
    <t>Náklady na ochranu staveniště před vstupem nepovolaných osob - oplocení,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</si>
  <si>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005124010R</t>
  </si>
  <si>
    <t>Koordinační činnost</t>
  </si>
  <si>
    <t>Koordinace stavebních a technologických dodávek stavby na základě výrobní - dílenské dokumentace.</t>
  </si>
  <si>
    <t>005241010R</t>
  </si>
  <si>
    <t>Dokumentace skutečného provedení stavby</t>
  </si>
  <si>
    <t>POL99_8</t>
  </si>
  <si>
    <t>Náklady na vyhotovení dokumentace skutečného provedení stavby a její předání objednateli v požadované formě a požadovaném počtu.</t>
  </si>
  <si>
    <t>005261010R</t>
  </si>
  <si>
    <t xml:space="preserve">Pojištění dodavatele a pojištění díla  </t>
  </si>
  <si>
    <t>Pojištění stavebního díla.</t>
  </si>
  <si>
    <t>ON</t>
  </si>
  <si>
    <t>RTS 24/I</t>
  </si>
  <si>
    <t>978013191R00</t>
  </si>
  <si>
    <t xml:space="preserve">Otlučení omítek vnitřních stěn v rozsahu do 100 % plochy </t>
  </si>
  <si>
    <t>962032241R00</t>
  </si>
  <si>
    <t xml:space="preserve">Bourání zdiva z cihel pálených na MC  </t>
  </si>
  <si>
    <t>975021211R00</t>
  </si>
  <si>
    <t xml:space="preserve">Podchycení zdiva pod stropem při tl.zdi do 45 cm   </t>
  </si>
  <si>
    <t>965042121R00</t>
  </si>
  <si>
    <t xml:space="preserve">Bourání mazanin betonových tl. 10 cm, pl. 1 m2, ručně  </t>
  </si>
  <si>
    <t>965048515R00</t>
  </si>
  <si>
    <t xml:space="preserve">Broušení betonových povrchů do tl. 5 mm  </t>
  </si>
  <si>
    <t>342948111R00</t>
  </si>
  <si>
    <t>Ukotvení příček k cihel. konstr. kotvami na hmožd.</t>
  </si>
  <si>
    <t>Včetně dodávky kotev i spojovacího materiálu.</t>
  </si>
  <si>
    <t>317234410RT2</t>
  </si>
  <si>
    <t>Vyzdívka mezi nosníky cihlami pálenými na MC s použitím suché maltové směsi</t>
  </si>
  <si>
    <t>346244381RT2</t>
  </si>
  <si>
    <t>Plentování ocelových nosníků výšky do 20 cm s použitím suché maltové směsi</t>
  </si>
  <si>
    <t xml:space="preserve">1.PP - 09 - ostění a nadpraží : (2,3+1,3+2,3)*0,65 </t>
  </si>
  <si>
    <t>612401391R00</t>
  </si>
  <si>
    <t xml:space="preserve">Omítka malých ploch vnitřních stěn do 1,0 m2 </t>
  </si>
  <si>
    <t>612479113R00</t>
  </si>
  <si>
    <t>Omítka vnitřní vápenná dvouvrstvá, ručně, na pórobeton - štuková s použitím suché maltové směsi</t>
  </si>
  <si>
    <t>612481211R00</t>
  </si>
  <si>
    <t>Montáž výztužné sítě (perlinky) do stěrky - vnitřní stěny včetně výztužné sítě a stěrkového tmelu</t>
  </si>
  <si>
    <t>1.PP - stěny:</t>
  </si>
  <si>
    <t xml:space="preserve">1.PP - omítka nové zdivo: </t>
  </si>
  <si>
    <t>767 - PC - 02</t>
  </si>
  <si>
    <t>HZS - demontáže nestandartního vybavení : 6</t>
  </si>
  <si>
    <t>273351215R00</t>
  </si>
  <si>
    <t xml:space="preserve">Bednění stěn základových desek - zřízení </t>
  </si>
  <si>
    <t>273351216R00</t>
  </si>
  <si>
    <t>Bednění stěn základových desek - odstranění</t>
  </si>
  <si>
    <t>711</t>
  </si>
  <si>
    <t>Izolace proti vodě</t>
  </si>
  <si>
    <t>711212002R00</t>
  </si>
  <si>
    <t xml:space="preserve">Stěrka hydroizolační, vč. dodávky HI hmoty </t>
  </si>
  <si>
    <t>711212000R00</t>
  </si>
  <si>
    <t>Penetrace podkladu pod hydroizolační nátěr, vč. dodávky</t>
  </si>
  <si>
    <t>998711101R00</t>
  </si>
  <si>
    <t>Přesun hmot pro izolace proti vodě, výšky do 6 m</t>
  </si>
  <si>
    <t>včetně dodávky materiálu.</t>
  </si>
  <si>
    <t>783125230R00</t>
  </si>
  <si>
    <t xml:space="preserve">Nátěr syntetický OK "C" 1x + 2x email  </t>
  </si>
  <si>
    <t>783124720R00</t>
  </si>
  <si>
    <t>Nátěr syntetický OK "B" základní</t>
  </si>
  <si>
    <t>783892220R00</t>
  </si>
  <si>
    <t>Malba vápenná, bez penetrace, 2x - paropropustná, barva bílá</t>
  </si>
  <si>
    <t>Poplatek za skládku suti - směs betonu, cihel, dřeva - skupina odpadu 170904</t>
  </si>
  <si>
    <t>Provoz investora - náklady spojené s nepřerušeným provozem</t>
  </si>
  <si>
    <t>Ostatní náklady z obchodních podmínek smlouvy</t>
  </si>
  <si>
    <t>Náklady spojené s dodržením podmínek uvedených dokumentech vyhlášené soutěže a dalších především obchodních podmínek smlouvy.</t>
  </si>
  <si>
    <t>004111020R</t>
  </si>
  <si>
    <t xml:space="preserve">Vypracování projektové dokumentace </t>
  </si>
  <si>
    <t>Zpracování výrobní - dílenské dokumentace.</t>
  </si>
  <si>
    <t>00512-1</t>
  </si>
  <si>
    <t>ve</t>
  </si>
  <si>
    <t>REKONSTRUKCE PLYNOVÉ KOTELNY ZŠ MIKOLÁŠE ALŠE 558, ZLÍN - PODHOŘÍ</t>
  </si>
  <si>
    <t>Mikoláše Alše 558, 761 73 Zlín</t>
  </si>
  <si>
    <t>Statutární město Zlín,                                 Odbor školství a sportu</t>
  </si>
  <si>
    <t>PLYNOVÁ KOTELNA</t>
  </si>
  <si>
    <t>dozdívky ostatní - komín - komín : 2*0,04</t>
  </si>
  <si>
    <t>Příčky z pórobetonových desek - tl. 15 cm</t>
  </si>
  <si>
    <t>342255028R00</t>
  </si>
  <si>
    <t>sklad : 3,6 + 6,3 + 3,6*6</t>
  </si>
  <si>
    <t>sklad : 3,6*3,6 + 6,3*3,6 - 1,6*2,0</t>
  </si>
  <si>
    <t>317944311R00</t>
  </si>
  <si>
    <t xml:space="preserve">D+M - válcované nosníky do č.12 osazené do připravených otvorů včetně dodávky profilu </t>
  </si>
  <si>
    <t>I 120 : 0,055 * 1,2</t>
  </si>
  <si>
    <t>317145337R00</t>
  </si>
  <si>
    <t xml:space="preserve">D+M - překlad pórobetonový plochý PSF 150 x 124 x 2500 mm, světlá šířka otvoru 2000 mm </t>
  </si>
  <si>
    <t>sklad : 1</t>
  </si>
  <si>
    <t xml:space="preserve">sklad : 0,4*0,15*1,5 </t>
  </si>
  <si>
    <t>sklad - nadpraží : 1,5*0,6 + 2,0*0,45</t>
  </si>
  <si>
    <t xml:space="preserve">sklad - ostění a nadpraží : (2,3+1,2+2,3)*0,4 </t>
  </si>
  <si>
    <t>1.PP : 1,6*2,1 *2 + 2,5*3,6</t>
  </si>
  <si>
    <t>komín : 2</t>
  </si>
  <si>
    <t xml:space="preserve">nové omítky : (3,6*3,6 + 6,3*3,6 - 1,6*2,0) *2 </t>
  </si>
  <si>
    <t>prostupy : 10</t>
  </si>
  <si>
    <t>sklad - ostění a nadpraží : (2,3+1,2+2,3) *0,8</t>
  </si>
  <si>
    <t>1.PP - sokly : 1,2*1,2 + 1,2*4*0,1 + 0,9*1,9*2 + (0,9+1,9)*2*0,1*2 + 1,2*1,6 + (1,2+1,6)*2*0,1</t>
  </si>
  <si>
    <t xml:space="preserve">1.PP - schody : 1,0*1,2 + 0,3*1,2 + 1,0*0,3 </t>
  </si>
  <si>
    <t xml:space="preserve">1.PP - plocha : 1,2*3,4 + 1,2*0,4 </t>
  </si>
  <si>
    <t xml:space="preserve">1.PP - sokl - bednění soklu : 2,2*0,15 </t>
  </si>
  <si>
    <t>632315621R00</t>
  </si>
  <si>
    <t xml:space="preserve">Mazanina betonová tl. 12 - 24 cm C 20/25  </t>
  </si>
  <si>
    <t xml:space="preserve">1.PP - schody : 1,0*1,2*0,15 + 0,65*1,2*0,15 </t>
  </si>
  <si>
    <t>433351131R00</t>
  </si>
  <si>
    <t xml:space="preserve">Bednění schodnic přímočarých - zřízení </t>
  </si>
  <si>
    <t xml:space="preserve">1.PP - schody : (1,0+1,2)*0,35 </t>
  </si>
  <si>
    <t>433351132R00</t>
  </si>
  <si>
    <t xml:space="preserve">Bednění schodnic přímočarých - odstranění </t>
  </si>
  <si>
    <t xml:space="preserve">1.PP - sokl : 0,6*1,2*2 *1,1 </t>
  </si>
  <si>
    <t>632411104R00</t>
  </si>
  <si>
    <t>Stěrka ze suchých směsí samonivelační, vyrovnávací, s rozprostřením a uhlazením, do tloušťky 4 mm, ruční zpracování včetně přebroušení</t>
  </si>
  <si>
    <t>1.PP : 23,5 + 98,7</t>
  </si>
  <si>
    <t>1.PP : 23,5 + 98,7 + 8,0</t>
  </si>
  <si>
    <t>Lešení lehké pomocné, výška podlahy do 1,2 m</t>
  </si>
  <si>
    <t>941955001R00</t>
  </si>
  <si>
    <t xml:space="preserve">Osazení zárubní dveřních ocelových, pl. do 2,5 m2 </t>
  </si>
  <si>
    <t>641942111R00</t>
  </si>
  <si>
    <t>sklad - zárubeň 1000/1970 : 1</t>
  </si>
  <si>
    <t>641942221R00</t>
  </si>
  <si>
    <t xml:space="preserve">Osazení zárubní dveřních ocelových, pl. do 4,5 m2  </t>
  </si>
  <si>
    <t>sklad - zárubeň 1600/1970 : 1</t>
  </si>
  <si>
    <t xml:space="preserve">zárubně : 1,8*0,15 + 1,2*0,15 </t>
  </si>
  <si>
    <t>oprava omítek : 10*0,3*2 + 2</t>
  </si>
  <si>
    <t>oprava omítek : 2</t>
  </si>
  <si>
    <t>HZS - nepředvídatelné stavební práce : 8</t>
  </si>
  <si>
    <t>kotelna : 2</t>
  </si>
  <si>
    <t>Demontáž stávajících odtokových kanálků</t>
  </si>
  <si>
    <t>kotelna : 1</t>
  </si>
  <si>
    <t>HZS - úprava a doplnění elektrorozvodů : 24</t>
  </si>
  <si>
    <t>kotelna - betonové sokly : 0,4*1,0*0,2</t>
  </si>
  <si>
    <t>kotelna - žlaby : 0,1*2,0*0,15*2</t>
  </si>
  <si>
    <t>1.PP - chodba - otvor: 1,2*2,3*0,4</t>
  </si>
  <si>
    <t>1.PP - chodba - podepření vybouraných otvorů pro osazení překladů: 1,5</t>
  </si>
  <si>
    <t>1.PP - kotelna - cementové potěry:</t>
  </si>
  <si>
    <t>2,5*1,0*0,03 + 1,8*0,2*0,03 +1,2*0,2*0,03</t>
  </si>
  <si>
    <t>1.PP - sklad + kotelna: 23,5 + 98,7</t>
  </si>
  <si>
    <t>632441491R00</t>
  </si>
  <si>
    <t xml:space="preserve">Broušení potěrů - odstranění původní barvy a šlemu </t>
  </si>
  <si>
    <t>potěry : 2,5*1,0 + 1,8*0,2 +1,2*0,2</t>
  </si>
  <si>
    <t>omítky - chodba + kotelna : 2,3*1,2*2 + 2,0</t>
  </si>
  <si>
    <t xml:space="preserve">ostění a nadpraží otvoru : (2,3+1,2+2,3) *0,4 </t>
  </si>
  <si>
    <t>otvor : 2</t>
  </si>
  <si>
    <t>973031326R00</t>
  </si>
  <si>
    <t xml:space="preserve">Vysekání kapes zeď cihel. MVC, pl. 0,1m2, hl. 45 cm  </t>
  </si>
  <si>
    <t>podlaha : 4,5 + 2,5 + 3,0 + 2,5 + 4,0</t>
  </si>
  <si>
    <t>podlaha - žlaby : 3,0 *1,2*1,1</t>
  </si>
  <si>
    <t xml:space="preserve">propojení betonových soklů a schodů - podrobněji viz. výkres </t>
  </si>
  <si>
    <t>767 - PC - 03</t>
  </si>
  <si>
    <t>samozavírač, kování (klika-klika), bezpečnostní vložka, ostatní doplňky, povrchové úprava včetně přesunu hmot</t>
  </si>
  <si>
    <t>767 - PC - 04</t>
  </si>
  <si>
    <t>D+M - jednostranné požární manžety s požární odolností EI 60 (DN 75) na nové plastové potrubí</t>
  </si>
  <si>
    <t>783801811R00</t>
  </si>
  <si>
    <t xml:space="preserve">Odstranění nátěrů z omítek stěn, oškrabáním </t>
  </si>
  <si>
    <t xml:space="preserve">Nátěr omítek stěn ochranný, otěruvzdorný dvojnásobný, s tmelením  </t>
  </si>
  <si>
    <t>včetně penetrace - napuštění podkladu a dodávky materiálu</t>
  </si>
  <si>
    <t>zárubně : (2,0+1,0+2,0)*0,3 + (2,0+1,6+2,0)*0,3</t>
  </si>
  <si>
    <t>profil I 120 : 0,48*1,5 *3</t>
  </si>
  <si>
    <t>777645210R00</t>
  </si>
  <si>
    <t xml:space="preserve">Nátěr podlah polyuretanový ast 100, 2x, s tmelením </t>
  </si>
  <si>
    <t>podlahy : 23,5 + 98,7</t>
  </si>
  <si>
    <t>stěny do výšky 2,0 m : 20,2*2,0 + 49,1*2,0 + 8,0*2,0</t>
  </si>
  <si>
    <t>stropy : 23,5 + 98,7</t>
  </si>
  <si>
    <t>stěny od výšky 2,0 m : 20,2*1,6 + 49,1*1,6 + 8,0*1,6</t>
  </si>
  <si>
    <t>včetně naložení na dopravní prostředek a složení na skládku, bez poplatku za skládku.</t>
  </si>
  <si>
    <t>D+M - požární plné jednokřídlové dveře o rozměru 1000/1970 mm a ocelová zárubeň s požární odolností EW 30DP3-C2</t>
  </si>
  <si>
    <t>D+M - požární plné dvoukřídlové dveře o rozměru 1600/1970 mm a ocelová zárubeň s požární odolností EW 30DP3-C2</t>
  </si>
  <si>
    <t>sokly : 4,2*0,15 + 5,4*0,15*2 + 5,0*0,15</t>
  </si>
  <si>
    <t>1.PP - plocha : 1,2*3,4 + 1,2*0,4 + 5,0*1,5 + 4</t>
  </si>
  <si>
    <t xml:space="preserve">dvousložková stěrka včetně použití těsnících manžet a pásů v místě koutů, rohů a prostupů: </t>
  </si>
  <si>
    <t>HZS - zřízení a odstranění zástěny proti prachu - chodba : 6</t>
  </si>
  <si>
    <t>Architektonicko-stavební řešení + VN</t>
  </si>
  <si>
    <t>Architektonicko - stavební řešení + VN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</si>
</sst>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63">
    <font>
      <sz val="10"/>
      <name val="Arial CE"/>
      <family val="0"/>
    </font>
    <font>
      <sz val="10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10"/>
      <name val="Arial Black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color indexed="9"/>
      <name val="Arial CE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6"/>
      <color indexed="12"/>
      <name val="Arial CE"/>
      <family val="0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u val="single"/>
      <sz val="15"/>
      <color indexed="20"/>
      <name val="Arial CE"/>
      <family val="0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8"/>
      <color indexed="10"/>
      <name val="Arial CE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u val="single"/>
      <sz val="16"/>
      <color theme="10"/>
      <name val="Arial CE"/>
      <family val="0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u val="single"/>
      <sz val="15"/>
      <color theme="11"/>
      <name val="Arial CE"/>
      <family val="0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8"/>
      <color rgb="FFFF000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/>
      <right style="thin"/>
      <top style="thin">
        <color indexed="63"/>
      </top>
      <bottom style="thin"/>
    </border>
    <border>
      <left/>
      <right/>
      <top style="thin">
        <color indexed="63"/>
      </top>
      <bottom style="thin"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0" fontId="5" fillId="33" borderId="0" xfId="0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0" fontId="5" fillId="33" borderId="15" xfId="0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4" borderId="29" xfId="0" applyNumberFormat="1" applyFont="1" applyFill="1" applyBorder="1" applyAlignment="1">
      <alignment vertical="center"/>
    </xf>
    <xf numFmtId="4" fontId="3" fillId="34" borderId="30" xfId="0" applyNumberFormat="1" applyFont="1" applyFill="1" applyBorder="1" applyAlignment="1">
      <alignment vertical="center" wrapText="1"/>
    </xf>
    <xf numFmtId="4" fontId="7" fillId="34" borderId="31" xfId="0" applyNumberFormat="1" applyFont="1" applyFill="1" applyBorder="1" applyAlignment="1">
      <alignment horizontal="center" vertical="center" wrapText="1" shrinkToFit="1"/>
    </xf>
    <xf numFmtId="4" fontId="3" fillId="34" borderId="31" xfId="0" applyNumberFormat="1" applyFont="1" applyFill="1" applyBorder="1" applyAlignment="1">
      <alignment horizontal="center" vertical="center" wrapText="1" shrinkToFit="1"/>
    </xf>
    <xf numFmtId="3" fontId="3" fillId="34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 wrapText="1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1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4" fontId="3" fillId="33" borderId="34" xfId="0" applyNumberFormat="1" applyFont="1" applyFill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33" borderId="34" xfId="0" applyNumberFormat="1" applyFont="1" applyFill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4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horizontal="center"/>
    </xf>
    <xf numFmtId="49" fontId="0" fillId="34" borderId="25" xfId="0" applyNumberFormat="1" applyFill="1" applyBorder="1" applyAlignment="1">
      <alignment/>
    </xf>
    <xf numFmtId="0" fontId="0" fillId="34" borderId="25" xfId="0" applyFill="1" applyBorder="1" applyAlignment="1">
      <alignment wrapText="1"/>
    </xf>
    <xf numFmtId="0" fontId="14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14" fillId="0" borderId="0" xfId="0" applyFont="1" applyBorder="1" applyAlignment="1">
      <alignment vertical="top"/>
    </xf>
    <xf numFmtId="49" fontId="14" fillId="0" borderId="0" xfId="0" applyNumberFormat="1" applyFont="1" applyBorder="1" applyAlignment="1">
      <alignment vertical="top"/>
    </xf>
    <xf numFmtId="4" fontId="14" fillId="0" borderId="0" xfId="0" applyNumberFormat="1" applyFont="1" applyBorder="1" applyAlignment="1">
      <alignment vertical="top" shrinkToFit="1"/>
    </xf>
    <xf numFmtId="164" fontId="15" fillId="0" borderId="0" xfId="0" applyNumberFormat="1" applyFont="1" applyBorder="1" applyAlignment="1">
      <alignment horizontal="center" vertical="top" wrapText="1" shrinkToFit="1"/>
    </xf>
    <xf numFmtId="164" fontId="15" fillId="0" borderId="0" xfId="0" applyNumberFormat="1" applyFont="1" applyBorder="1" applyAlignment="1">
      <alignment vertical="top" wrapText="1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4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0" fontId="14" fillId="0" borderId="41" xfId="0" applyFont="1" applyBorder="1" applyAlignment="1">
      <alignment vertical="top"/>
    </xf>
    <xf numFmtId="49" fontId="14" fillId="0" borderId="42" xfId="0" applyNumberFormat="1" applyFont="1" applyBorder="1" applyAlignment="1">
      <alignment vertical="top"/>
    </xf>
    <xf numFmtId="0" fontId="14" fillId="0" borderId="42" xfId="0" applyFont="1" applyBorder="1" applyAlignment="1">
      <alignment horizontal="center" vertical="top" shrinkToFit="1"/>
    </xf>
    <xf numFmtId="164" fontId="14" fillId="0" borderId="42" xfId="0" applyNumberFormat="1" applyFont="1" applyBorder="1" applyAlignment="1">
      <alignment vertical="top" shrinkToFit="1"/>
    </xf>
    <xf numFmtId="4" fontId="14" fillId="0" borderId="42" xfId="0" applyNumberFormat="1" applyFont="1" applyBorder="1" applyAlignment="1">
      <alignment vertical="top" shrinkToFit="1"/>
    </xf>
    <xf numFmtId="4" fontId="14" fillId="0" borderId="43" xfId="0" applyNumberFormat="1" applyFont="1" applyBorder="1" applyAlignment="1">
      <alignment vertical="top" shrinkToFit="1"/>
    </xf>
    <xf numFmtId="0" fontId="14" fillId="0" borderId="44" xfId="0" applyFont="1" applyBorder="1" applyAlignment="1">
      <alignment vertical="top"/>
    </xf>
    <xf numFmtId="49" fontId="14" fillId="0" borderId="45" xfId="0" applyNumberFormat="1" applyFont="1" applyBorder="1" applyAlignment="1">
      <alignment vertical="top"/>
    </xf>
    <xf numFmtId="0" fontId="14" fillId="0" borderId="45" xfId="0" applyFont="1" applyBorder="1" applyAlignment="1">
      <alignment horizontal="center" vertical="top" shrinkToFit="1"/>
    </xf>
    <xf numFmtId="164" fontId="14" fillId="0" borderId="45" xfId="0" applyNumberFormat="1" applyFont="1" applyBorder="1" applyAlignment="1">
      <alignment vertical="top" shrinkToFit="1"/>
    </xf>
    <xf numFmtId="4" fontId="14" fillId="0" borderId="45" xfId="0" applyNumberFormat="1" applyFont="1" applyBorder="1" applyAlignment="1">
      <alignment vertical="top" shrinkToFit="1"/>
    </xf>
    <xf numFmtId="4" fontId="14" fillId="0" borderId="46" xfId="0" applyNumberFormat="1" applyFont="1" applyBorder="1" applyAlignment="1">
      <alignment vertical="top" shrinkToFit="1"/>
    </xf>
    <xf numFmtId="49" fontId="5" fillId="33" borderId="22" xfId="0" applyNumberFormat="1" applyFont="1" applyFill="1" applyBorder="1" applyAlignment="1">
      <alignment horizontal="left" vertical="top" wrapText="1"/>
    </xf>
    <xf numFmtId="49" fontId="14" fillId="0" borderId="42" xfId="0" applyNumberFormat="1" applyFont="1" applyBorder="1" applyAlignment="1">
      <alignment horizontal="left" vertical="top" wrapText="1"/>
    </xf>
    <xf numFmtId="164" fontId="15" fillId="0" borderId="0" xfId="0" applyNumberFormat="1" applyFont="1" applyBorder="1" applyAlignment="1" quotePrefix="1">
      <alignment horizontal="left" vertical="top" wrapText="1"/>
    </xf>
    <xf numFmtId="49" fontId="14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164" fontId="15" fillId="0" borderId="0" xfId="0" applyNumberFormat="1" applyFont="1" applyBorder="1" applyAlignment="1">
      <alignment horizontal="left" vertical="top" wrapText="1"/>
    </xf>
    <xf numFmtId="4" fontId="14" fillId="3" borderId="42" xfId="0" applyNumberFormat="1" applyFont="1" applyFill="1" applyBorder="1" applyAlignment="1">
      <alignment vertical="top" shrinkToFit="1"/>
    </xf>
    <xf numFmtId="4" fontId="14" fillId="3" borderId="45" xfId="0" applyNumberFormat="1" applyFont="1" applyFill="1" applyBorder="1" applyAlignment="1">
      <alignment vertical="top" shrinkToFit="1"/>
    </xf>
    <xf numFmtId="4" fontId="5" fillId="33" borderId="17" xfId="0" applyNumberFormat="1" applyFont="1" applyFill="1" applyBorder="1" applyAlignment="1">
      <alignment vertical="top" shrinkToFit="1"/>
    </xf>
    <xf numFmtId="49" fontId="0" fillId="33" borderId="17" xfId="0" applyNumberFormat="1" applyFill="1" applyBorder="1" applyAlignment="1">
      <alignment vertical="center"/>
    </xf>
    <xf numFmtId="0" fontId="8" fillId="0" borderId="0" xfId="0" applyNumberFormat="1" applyFont="1" applyAlignment="1">
      <alignment wrapText="1"/>
    </xf>
    <xf numFmtId="4" fontId="5" fillId="33" borderId="17" xfId="0" applyNumberFormat="1" applyFont="1" applyFill="1" applyBorder="1" applyAlignment="1">
      <alignment vertical="top" shrinkToFit="1"/>
    </xf>
    <xf numFmtId="4" fontId="5" fillId="33" borderId="47" xfId="0" applyNumberFormat="1" applyFont="1" applyFill="1" applyBorder="1" applyAlignment="1">
      <alignment vertical="top" shrinkToFit="1"/>
    </xf>
    <xf numFmtId="4" fontId="14" fillId="0" borderId="25" xfId="0" applyNumberFormat="1" applyFont="1" applyBorder="1" applyAlignment="1">
      <alignment vertical="top" shrinkToFit="1"/>
    </xf>
    <xf numFmtId="4" fontId="5" fillId="33" borderId="47" xfId="0" applyNumberFormat="1" applyFont="1" applyFill="1" applyBorder="1" applyAlignment="1">
      <alignment vertical="top" shrinkToFit="1"/>
    </xf>
    <xf numFmtId="4" fontId="14" fillId="3" borderId="42" xfId="0" applyNumberFormat="1" applyFont="1" applyFill="1" applyBorder="1" applyAlignment="1">
      <alignment vertical="top" shrinkToFit="1"/>
    </xf>
    <xf numFmtId="4" fontId="14" fillId="0" borderId="15" xfId="0" applyNumberFormat="1" applyFont="1" applyBorder="1" applyAlignment="1">
      <alignment vertical="top" shrinkToFit="1"/>
    </xf>
    <xf numFmtId="49" fontId="10" fillId="0" borderId="0" xfId="0" applyNumberFormat="1" applyFont="1" applyAlignment="1">
      <alignment/>
    </xf>
    <xf numFmtId="49" fontId="8" fillId="33" borderId="26" xfId="0" applyNumberFormat="1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center" vertical="top" shrinkToFit="1"/>
    </xf>
    <xf numFmtId="164" fontId="8" fillId="33" borderId="17" xfId="0" applyNumberFormat="1" applyFont="1" applyFill="1" applyBorder="1" applyAlignment="1">
      <alignment vertical="top" shrinkToFit="1"/>
    </xf>
    <xf numFmtId="4" fontId="8" fillId="33" borderId="17" xfId="0" applyNumberFormat="1" applyFont="1" applyFill="1" applyBorder="1" applyAlignment="1">
      <alignment vertical="top" shrinkToFit="1"/>
    </xf>
    <xf numFmtId="4" fontId="8" fillId="33" borderId="48" xfId="0" applyNumberFormat="1" applyFont="1" applyFill="1" applyBorder="1" applyAlignment="1">
      <alignment vertical="top" shrinkToFit="1"/>
    </xf>
    <xf numFmtId="4" fontId="8" fillId="33" borderId="22" xfId="0" applyNumberFormat="1" applyFont="1" applyFill="1" applyBorder="1" applyAlignment="1">
      <alignment vertical="top" shrinkToFit="1"/>
    </xf>
    <xf numFmtId="0" fontId="10" fillId="0" borderId="0" xfId="0" applyFont="1" applyAlignment="1">
      <alignment/>
    </xf>
    <xf numFmtId="4" fontId="8" fillId="33" borderId="0" xfId="0" applyNumberFormat="1" applyFont="1" applyFill="1" applyBorder="1" applyAlignment="1">
      <alignment vertical="top" shrinkToFit="1"/>
    </xf>
    <xf numFmtId="0" fontId="22" fillId="0" borderId="0" xfId="0" applyNumberFormat="1" applyFont="1" applyAlignment="1">
      <alignment wrapText="1"/>
    </xf>
    <xf numFmtId="0" fontId="61" fillId="0" borderId="0" xfId="0" applyFont="1" applyAlignment="1">
      <alignment/>
    </xf>
    <xf numFmtId="0" fontId="3" fillId="35" borderId="0" xfId="0" applyFont="1" applyFill="1" applyAlignment="1">
      <alignment horizontal="left" wrapText="1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0" fillId="33" borderId="49" xfId="0" applyNumberFormat="1" applyFill="1" applyBorder="1" applyAlignment="1">
      <alignment vertical="center"/>
    </xf>
    <xf numFmtId="4" fontId="0" fillId="0" borderId="50" xfId="0" applyNumberFormat="1" applyBorder="1" applyAlignment="1">
      <alignment vertical="center" wrapText="1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5" fillId="0" borderId="50" xfId="0" applyNumberFormat="1" applyFont="1" applyBorder="1" applyAlignment="1">
      <alignment vertical="center" wrapText="1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47" xfId="0" applyNumberFormat="1" applyFont="1" applyBorder="1" applyAlignment="1">
      <alignment horizontal="right" vertical="center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4" fontId="9" fillId="33" borderId="36" xfId="0" applyNumberFormat="1" applyFont="1" applyFill="1" applyBorder="1" applyAlignment="1">
      <alignment horizontal="right"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8" fillId="0" borderId="47" xfId="0" applyNumberFormat="1" applyFont="1" applyBorder="1" applyAlignment="1">
      <alignment horizontal="right" vertical="center" inden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vertical="center" wrapText="1"/>
    </xf>
    <xf numFmtId="49" fontId="5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49" fontId="20" fillId="33" borderId="22" xfId="0" applyNumberFormat="1" applyFont="1" applyFill="1" applyBorder="1" applyAlignment="1">
      <alignment horizontal="left" vertical="center" wrapText="1"/>
    </xf>
    <xf numFmtId="0" fontId="21" fillId="33" borderId="22" xfId="0" applyFont="1" applyFill="1" applyBorder="1" applyAlignment="1">
      <alignment wrapText="1"/>
    </xf>
    <xf numFmtId="0" fontId="21" fillId="33" borderId="23" xfId="0" applyFont="1" applyFill="1" applyBorder="1" applyAlignment="1">
      <alignment wrapText="1"/>
    </xf>
    <xf numFmtId="49" fontId="18" fillId="33" borderId="0" xfId="0" applyNumberFormat="1" applyFont="1" applyFill="1" applyBorder="1" applyAlignment="1">
      <alignment horizontal="left" wrapText="1"/>
    </xf>
    <xf numFmtId="0" fontId="19" fillId="33" borderId="0" xfId="0" applyFont="1" applyFill="1" applyBorder="1" applyAlignment="1">
      <alignment wrapText="1"/>
    </xf>
    <xf numFmtId="0" fontId="19" fillId="33" borderId="11" xfId="0" applyFont="1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10" fillId="0" borderId="20" xfId="0" applyNumberFormat="1" applyFont="1" applyBorder="1" applyAlignment="1">
      <alignment horizontal="right" vertical="center" indent="1"/>
    </xf>
    <xf numFmtId="49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9" fontId="3" fillId="0" borderId="32" xfId="0" applyNumberFormat="1" applyFont="1" applyBorder="1" applyAlignment="1">
      <alignment vertical="center" wrapText="1"/>
    </xf>
    <xf numFmtId="49" fontId="3" fillId="0" borderId="50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7" xfId="0" applyNumberFormat="1" applyBorder="1" applyAlignment="1">
      <alignment vertical="center" shrinkToFit="1"/>
    </xf>
    <xf numFmtId="0" fontId="16" fillId="0" borderId="22" xfId="0" applyNumberFormat="1" applyFont="1" applyBorder="1" applyAlignment="1">
      <alignment horizontal="left" vertical="top" wrapText="1"/>
    </xf>
    <xf numFmtId="0" fontId="16" fillId="0" borderId="22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5" fillId="0" borderId="17" xfId="0" applyNumberFormat="1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49" fontId="17" fillId="0" borderId="17" xfId="0" applyNumberFormat="1" applyFont="1" applyBorder="1" applyAlignment="1">
      <alignment vertical="center" shrinkToFit="1"/>
    </xf>
    <xf numFmtId="0" fontId="17" fillId="0" borderId="17" xfId="0" applyFont="1" applyBorder="1" applyAlignment="1">
      <alignment vertical="center" shrinkToFit="1"/>
    </xf>
    <xf numFmtId="0" fontId="17" fillId="0" borderId="47" xfId="0" applyFont="1" applyBorder="1" applyAlignment="1">
      <alignment vertical="center" shrinkToFit="1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avascript:;" TargetMode="External" /><Relationship Id="rId2" Type="http://schemas.openxmlformats.org/officeDocument/2006/relationships/hyperlink" Target="javascript:;" TargetMode="External" /><Relationship Id="rId3" Type="http://schemas.openxmlformats.org/officeDocument/2006/relationships/comments" Target="../comments4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37</v>
      </c>
    </row>
    <row r="2" spans="1:7" ht="57.75" customHeight="1">
      <c r="A2" s="198" t="s">
        <v>38</v>
      </c>
      <c r="B2" s="198"/>
      <c r="C2" s="198"/>
      <c r="D2" s="198"/>
      <c r="E2" s="198"/>
      <c r="F2" s="198"/>
      <c r="G2" s="198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AZ69"/>
  <sheetViews>
    <sheetView showGridLines="0" tabSelected="1" zoomScale="120" zoomScaleNormal="120" zoomScaleSheetLayoutView="75" zoomScalePageLayoutView="0" workbookViewId="0" topLeftCell="B1">
      <selection activeCell="B46" sqref="B46:J46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1" customWidth="1"/>
    <col min="4" max="4" width="13.00390625" style="51" customWidth="1"/>
    <col min="5" max="5" width="9.75390625" style="51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  <col min="16" max="51" width="9.00390625" style="0" customWidth="1"/>
    <col min="52" max="52" width="94.625" style="0" customWidth="1"/>
  </cols>
  <sheetData>
    <row r="1" spans="1:10" ht="33.75" customHeight="1">
      <c r="A1" s="46" t="s">
        <v>35</v>
      </c>
      <c r="B1" s="218" t="s">
        <v>4</v>
      </c>
      <c r="C1" s="219"/>
      <c r="D1" s="219"/>
      <c r="E1" s="219"/>
      <c r="F1" s="219"/>
      <c r="G1" s="219"/>
      <c r="H1" s="219"/>
      <c r="I1" s="219"/>
      <c r="J1" s="220"/>
    </row>
    <row r="2" spans="1:15" ht="41.25" customHeight="1">
      <c r="A2" s="2"/>
      <c r="B2" s="73" t="s">
        <v>23</v>
      </c>
      <c r="C2" s="74"/>
      <c r="D2" s="75" t="s">
        <v>119</v>
      </c>
      <c r="E2" s="232" t="s">
        <v>278</v>
      </c>
      <c r="F2" s="233"/>
      <c r="G2" s="233"/>
      <c r="H2" s="233"/>
      <c r="I2" s="233"/>
      <c r="J2" s="234"/>
      <c r="O2" s="1"/>
    </row>
    <row r="3" spans="1:10" ht="19.5" customHeight="1">
      <c r="A3" s="2"/>
      <c r="B3" s="76"/>
      <c r="C3" s="74"/>
      <c r="D3" s="77"/>
      <c r="E3" s="235" t="s">
        <v>279</v>
      </c>
      <c r="F3" s="236"/>
      <c r="G3" s="236"/>
      <c r="H3" s="236"/>
      <c r="I3" s="236"/>
      <c r="J3" s="237"/>
    </row>
    <row r="4" spans="1:10" ht="13.5" customHeight="1">
      <c r="A4" s="2"/>
      <c r="B4" s="78"/>
      <c r="C4" s="79"/>
      <c r="D4" s="80"/>
      <c r="E4" s="221"/>
      <c r="F4" s="221"/>
      <c r="G4" s="221"/>
      <c r="H4" s="221"/>
      <c r="I4" s="221"/>
      <c r="J4" s="222"/>
    </row>
    <row r="5" spans="1:10" ht="31.5" customHeight="1">
      <c r="A5" s="2"/>
      <c r="B5" s="31" t="s">
        <v>22</v>
      </c>
      <c r="D5" s="225" t="s">
        <v>280</v>
      </c>
      <c r="E5" s="226"/>
      <c r="F5" s="226"/>
      <c r="G5" s="226"/>
      <c r="H5" s="18" t="s">
        <v>39</v>
      </c>
      <c r="I5" s="82" t="s">
        <v>159</v>
      </c>
      <c r="J5" s="8"/>
    </row>
    <row r="6" spans="1:10" ht="13.5" customHeight="1">
      <c r="A6" s="2"/>
      <c r="B6" s="28"/>
      <c r="C6" s="54"/>
      <c r="D6" s="242" t="s">
        <v>157</v>
      </c>
      <c r="E6" s="243"/>
      <c r="F6" s="243"/>
      <c r="G6" s="243"/>
      <c r="H6" s="18" t="s">
        <v>33</v>
      </c>
      <c r="I6" s="82" t="s">
        <v>160</v>
      </c>
      <c r="J6" s="8"/>
    </row>
    <row r="7" spans="1:10" ht="15" customHeight="1">
      <c r="A7" s="2"/>
      <c r="B7" s="29"/>
      <c r="C7" s="55"/>
      <c r="D7" s="81" t="s">
        <v>158</v>
      </c>
      <c r="E7" s="227" t="s">
        <v>150</v>
      </c>
      <c r="F7" s="228"/>
      <c r="G7" s="228"/>
      <c r="H7" s="24"/>
      <c r="I7" s="23"/>
      <c r="J7" s="34"/>
    </row>
    <row r="8" spans="1:10" ht="24" customHeight="1" hidden="1">
      <c r="A8" s="2"/>
      <c r="B8" s="31" t="s">
        <v>20</v>
      </c>
      <c r="D8" s="50"/>
      <c r="H8" s="18" t="s">
        <v>39</v>
      </c>
      <c r="I8" s="22"/>
      <c r="J8" s="8"/>
    </row>
    <row r="9" spans="1:10" ht="15.75" customHeight="1" hidden="1">
      <c r="A9" s="2"/>
      <c r="B9" s="2"/>
      <c r="D9" s="50"/>
      <c r="H9" s="18" t="s">
        <v>33</v>
      </c>
      <c r="I9" s="22"/>
      <c r="J9" s="8"/>
    </row>
    <row r="10" spans="1:10" ht="15.75" customHeight="1" hidden="1">
      <c r="A10" s="2"/>
      <c r="B10" s="35"/>
      <c r="C10" s="55"/>
      <c r="D10" s="52"/>
      <c r="E10" s="56"/>
      <c r="F10" s="24"/>
      <c r="G10" s="14"/>
      <c r="H10" s="14"/>
      <c r="I10" s="36"/>
      <c r="J10" s="34"/>
    </row>
    <row r="11" spans="1:10" ht="24" customHeight="1">
      <c r="A11" s="2"/>
      <c r="B11" s="31" t="s">
        <v>19</v>
      </c>
      <c r="D11" s="231" t="s">
        <v>40</v>
      </c>
      <c r="E11" s="231"/>
      <c r="F11" s="231"/>
      <c r="G11" s="231"/>
      <c r="H11" s="18" t="s">
        <v>39</v>
      </c>
      <c r="I11" s="82"/>
      <c r="J11" s="8"/>
    </row>
    <row r="12" spans="1:10" ht="15.75" customHeight="1">
      <c r="A12" s="2"/>
      <c r="B12" s="28"/>
      <c r="C12" s="54"/>
      <c r="D12" s="244"/>
      <c r="E12" s="244"/>
      <c r="F12" s="244"/>
      <c r="G12" s="244"/>
      <c r="H12" s="18" t="s">
        <v>33</v>
      </c>
      <c r="I12" s="22"/>
      <c r="J12" s="8"/>
    </row>
    <row r="13" spans="1:10" ht="15.75" customHeight="1">
      <c r="A13" s="2"/>
      <c r="B13" s="29"/>
      <c r="C13" s="55"/>
      <c r="D13" s="52"/>
      <c r="E13" s="223"/>
      <c r="F13" s="224"/>
      <c r="G13" s="224"/>
      <c r="H13" s="19"/>
      <c r="I13" s="23"/>
      <c r="J13" s="34"/>
    </row>
    <row r="14" spans="1:10" ht="30" customHeight="1">
      <c r="A14" s="2"/>
      <c r="B14" s="43" t="s">
        <v>21</v>
      </c>
      <c r="C14" s="57"/>
      <c r="D14" s="229" t="s">
        <v>121</v>
      </c>
      <c r="E14" s="230"/>
      <c r="F14" s="230"/>
      <c r="G14" s="230"/>
      <c r="H14" s="230"/>
      <c r="I14" s="44"/>
      <c r="J14" s="45"/>
    </row>
    <row r="15" spans="1:10" ht="32.25" customHeight="1">
      <c r="A15" s="2"/>
      <c r="B15" s="35" t="s">
        <v>31</v>
      </c>
      <c r="C15" s="58"/>
      <c r="D15" s="53"/>
      <c r="E15" s="238"/>
      <c r="F15" s="238"/>
      <c r="G15" s="239"/>
      <c r="H15" s="239"/>
      <c r="I15" s="239" t="s">
        <v>28</v>
      </c>
      <c r="J15" s="240"/>
    </row>
    <row r="16" spans="1:10" ht="23.25" customHeight="1">
      <c r="A16" s="136" t="s">
        <v>25</v>
      </c>
      <c r="B16" s="38" t="s">
        <v>25</v>
      </c>
      <c r="C16" s="59"/>
      <c r="D16" s="60"/>
      <c r="E16" s="209"/>
      <c r="F16" s="210"/>
      <c r="G16" s="209"/>
      <c r="H16" s="210"/>
      <c r="I16" s="209">
        <f>SUM(I52:I59)</f>
        <v>0</v>
      </c>
      <c r="J16" s="241"/>
    </row>
    <row r="17" spans="1:10" ht="23.25" customHeight="1">
      <c r="A17" s="136" t="s">
        <v>26</v>
      </c>
      <c r="B17" s="38" t="s">
        <v>26</v>
      </c>
      <c r="C17" s="59"/>
      <c r="D17" s="60"/>
      <c r="E17" s="209"/>
      <c r="F17" s="210"/>
      <c r="G17" s="209"/>
      <c r="H17" s="210"/>
      <c r="I17" s="209">
        <f>SUM(I60:I63)</f>
        <v>0</v>
      </c>
      <c r="J17" s="241"/>
    </row>
    <row r="18" spans="1:10" ht="23.25" customHeight="1">
      <c r="A18" s="136" t="s">
        <v>27</v>
      </c>
      <c r="B18" s="38" t="s">
        <v>27</v>
      </c>
      <c r="C18" s="59"/>
      <c r="D18" s="60"/>
      <c r="E18" s="209"/>
      <c r="F18" s="210"/>
      <c r="G18" s="209"/>
      <c r="H18" s="210"/>
      <c r="I18" s="209">
        <v>0</v>
      </c>
      <c r="J18" s="241"/>
    </row>
    <row r="19" spans="1:10" ht="23.25" customHeight="1">
      <c r="A19" s="136" t="s">
        <v>66</v>
      </c>
      <c r="B19" s="38" t="s">
        <v>64</v>
      </c>
      <c r="C19" s="59"/>
      <c r="D19" s="60"/>
      <c r="E19" s="209"/>
      <c r="F19" s="210"/>
      <c r="G19" s="209"/>
      <c r="H19" s="210"/>
      <c r="I19" s="209">
        <f>I64</f>
        <v>0</v>
      </c>
      <c r="J19" s="241"/>
    </row>
    <row r="20" spans="1:10" ht="23.25" customHeight="1">
      <c r="A20" s="136" t="s">
        <v>220</v>
      </c>
      <c r="B20" s="38" t="s">
        <v>191</v>
      </c>
      <c r="C20" s="59"/>
      <c r="D20" s="60"/>
      <c r="E20" s="209"/>
      <c r="F20" s="210"/>
      <c r="G20" s="209"/>
      <c r="H20" s="210"/>
      <c r="I20" s="209">
        <f>I65</f>
        <v>0</v>
      </c>
      <c r="J20" s="241"/>
    </row>
    <row r="21" spans="1:10" ht="23.25" customHeight="1">
      <c r="A21" s="2"/>
      <c r="B21" s="47" t="s">
        <v>28</v>
      </c>
      <c r="C21" s="61"/>
      <c r="D21" s="62"/>
      <c r="E21" s="211"/>
      <c r="F21" s="217"/>
      <c r="G21" s="211"/>
      <c r="H21" s="217"/>
      <c r="I21" s="211">
        <f>SUM(I16:J20)</f>
        <v>0</v>
      </c>
      <c r="J21" s="212"/>
    </row>
    <row r="22" spans="1:10" ht="33" customHeight="1">
      <c r="A22" s="2"/>
      <c r="B22" s="42" t="s">
        <v>32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>
      <c r="A23" s="2"/>
      <c r="B23" s="38" t="s">
        <v>12</v>
      </c>
      <c r="C23" s="59"/>
      <c r="D23" s="60"/>
      <c r="E23" s="64">
        <v>15</v>
      </c>
      <c r="F23" s="39" t="s">
        <v>0</v>
      </c>
      <c r="G23" s="245">
        <v>0</v>
      </c>
      <c r="H23" s="246"/>
      <c r="I23" s="246"/>
      <c r="J23" s="40" t="str">
        <f aca="true" t="shared" si="0" ref="J23:J28">Mena</f>
        <v>CZK</v>
      </c>
    </row>
    <row r="24" spans="1:10" ht="23.25" customHeight="1">
      <c r="A24" s="2"/>
      <c r="B24" s="38" t="s">
        <v>13</v>
      </c>
      <c r="C24" s="59"/>
      <c r="D24" s="60"/>
      <c r="E24" s="64">
        <f>SazbaDPH1</f>
        <v>15</v>
      </c>
      <c r="F24" s="39" t="s">
        <v>0</v>
      </c>
      <c r="G24" s="204">
        <v>0</v>
      </c>
      <c r="H24" s="205"/>
      <c r="I24" s="205"/>
      <c r="J24" s="40" t="str">
        <f t="shared" si="0"/>
        <v>CZK</v>
      </c>
    </row>
    <row r="25" spans="1:10" ht="23.25" customHeight="1">
      <c r="A25" s="2"/>
      <c r="B25" s="38" t="s">
        <v>14</v>
      </c>
      <c r="C25" s="59"/>
      <c r="D25" s="60"/>
      <c r="E25" s="64">
        <v>21</v>
      </c>
      <c r="F25" s="39" t="s">
        <v>0</v>
      </c>
      <c r="G25" s="245">
        <f>I21</f>
        <v>0</v>
      </c>
      <c r="H25" s="246"/>
      <c r="I25" s="246"/>
      <c r="J25" s="40" t="str">
        <f t="shared" si="0"/>
        <v>CZK</v>
      </c>
    </row>
    <row r="26" spans="1:10" ht="23.25" customHeight="1">
      <c r="A26" s="2"/>
      <c r="B26" s="32" t="s">
        <v>15</v>
      </c>
      <c r="C26" s="65"/>
      <c r="D26" s="53"/>
      <c r="E26" s="66">
        <f>SazbaDPH2</f>
        <v>21</v>
      </c>
      <c r="F26" s="30" t="s">
        <v>0</v>
      </c>
      <c r="G26" s="248">
        <f>I21*1.21-I21</f>
        <v>0</v>
      </c>
      <c r="H26" s="249"/>
      <c r="I26" s="249"/>
      <c r="J26" s="37" t="str">
        <f t="shared" si="0"/>
        <v>CZK</v>
      </c>
    </row>
    <row r="27" spans="1:10" ht="23.25" customHeight="1" thickBot="1">
      <c r="A27" s="2"/>
      <c r="B27" s="31" t="s">
        <v>5</v>
      </c>
      <c r="C27" s="67"/>
      <c r="D27" s="68"/>
      <c r="E27" s="67"/>
      <c r="F27" s="16"/>
      <c r="G27" s="247">
        <v>0</v>
      </c>
      <c r="H27" s="247"/>
      <c r="I27" s="247"/>
      <c r="J27" s="41" t="str">
        <f t="shared" si="0"/>
        <v>CZK</v>
      </c>
    </row>
    <row r="28" spans="1:10" ht="27.75" customHeight="1" hidden="1" thickBot="1">
      <c r="A28" s="2"/>
      <c r="B28" s="109" t="s">
        <v>24</v>
      </c>
      <c r="C28" s="110"/>
      <c r="D28" s="110"/>
      <c r="E28" s="111"/>
      <c r="F28" s="112"/>
      <c r="G28" s="213">
        <v>8955018.53</v>
      </c>
      <c r="H28" s="214"/>
      <c r="I28" s="214"/>
      <c r="J28" s="113" t="str">
        <f t="shared" si="0"/>
        <v>CZK</v>
      </c>
    </row>
    <row r="29" spans="1:10" ht="27.75" customHeight="1" thickBot="1">
      <c r="A29" s="2"/>
      <c r="B29" s="109" t="s">
        <v>34</v>
      </c>
      <c r="C29" s="114"/>
      <c r="D29" s="114"/>
      <c r="E29" s="114"/>
      <c r="F29" s="115"/>
      <c r="G29" s="213">
        <f>I21*1.21</f>
        <v>0</v>
      </c>
      <c r="H29" s="213"/>
      <c r="I29" s="213"/>
      <c r="J29" s="116" t="s">
        <v>44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69" t="s">
        <v>277</v>
      </c>
      <c r="D32" s="70" t="s">
        <v>149</v>
      </c>
      <c r="E32" s="70"/>
      <c r="F32" s="15" t="s">
        <v>11</v>
      </c>
      <c r="G32" s="26"/>
      <c r="H32" s="27">
        <v>45342</v>
      </c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1"/>
      <c r="D34" s="206"/>
      <c r="E34" s="207"/>
      <c r="G34" s="215"/>
      <c r="H34" s="216"/>
      <c r="I34" s="216"/>
      <c r="J34" s="25"/>
    </row>
    <row r="35" spans="1:10" ht="12.75" customHeight="1">
      <c r="A35" s="2"/>
      <c r="B35" s="2"/>
      <c r="D35" s="203" t="s">
        <v>2</v>
      </c>
      <c r="E35" s="203"/>
      <c r="H35" s="10" t="s">
        <v>3</v>
      </c>
      <c r="J35" s="9"/>
    </row>
    <row r="36" spans="1:10" ht="13.5" customHeight="1" thickBot="1">
      <c r="A36" s="11"/>
      <c r="B36" s="11"/>
      <c r="C36" s="72"/>
      <c r="D36" s="72"/>
      <c r="E36" s="72"/>
      <c r="F36" s="12"/>
      <c r="G36" s="12"/>
      <c r="H36" s="12"/>
      <c r="I36" s="12"/>
      <c r="J36" s="13"/>
    </row>
    <row r="37" spans="2:10" ht="27" customHeight="1">
      <c r="B37" s="86" t="s">
        <v>16</v>
      </c>
      <c r="C37" s="87"/>
      <c r="D37" s="87"/>
      <c r="E37" s="87"/>
      <c r="F37" s="88"/>
      <c r="G37" s="88"/>
      <c r="H37" s="88"/>
      <c r="I37" s="88"/>
      <c r="J37" s="89"/>
    </row>
    <row r="38" spans="1:10" ht="25.5" customHeight="1">
      <c r="A38" s="85" t="s">
        <v>36</v>
      </c>
      <c r="B38" s="90" t="s">
        <v>17</v>
      </c>
      <c r="C38" s="91" t="s">
        <v>6</v>
      </c>
      <c r="D38" s="91"/>
      <c r="E38" s="91"/>
      <c r="F38" s="92" t="str">
        <f>B23</f>
        <v>Základ pro sníženou DPH</v>
      </c>
      <c r="G38" s="92" t="str">
        <f>B25</f>
        <v>Základ pro základní DPH</v>
      </c>
      <c r="H38" s="93" t="s">
        <v>18</v>
      </c>
      <c r="I38" s="93" t="s">
        <v>1</v>
      </c>
      <c r="J38" s="94" t="s">
        <v>0</v>
      </c>
    </row>
    <row r="39" spans="1:10" ht="25.5" customHeight="1" hidden="1">
      <c r="A39" s="85">
        <v>1</v>
      </c>
      <c r="B39" s="95" t="s">
        <v>41</v>
      </c>
      <c r="C39" s="202"/>
      <c r="D39" s="202"/>
      <c r="E39" s="202"/>
      <c r="F39" s="96">
        <v>0</v>
      </c>
      <c r="G39" s="97">
        <v>8955018.53</v>
      </c>
      <c r="H39" s="98">
        <v>1880553.89</v>
      </c>
      <c r="I39" s="98">
        <v>10835572.42</v>
      </c>
      <c r="J39" s="99">
        <f>IF(CenaCelkemVypocet=0,"",I39/CenaCelkemVypocet*100)</f>
      </c>
    </row>
    <row r="40" spans="1:10" ht="25.5" customHeight="1">
      <c r="A40" s="85">
        <v>2</v>
      </c>
      <c r="B40" s="100" t="s">
        <v>42</v>
      </c>
      <c r="C40" s="208" t="s">
        <v>281</v>
      </c>
      <c r="D40" s="208"/>
      <c r="E40" s="208"/>
      <c r="F40" s="101">
        <v>0</v>
      </c>
      <c r="G40" s="102">
        <f>G41</f>
        <v>0</v>
      </c>
      <c r="H40" s="102">
        <f>H41</f>
        <v>0</v>
      </c>
      <c r="I40" s="102">
        <f>I41</f>
        <v>0</v>
      </c>
      <c r="J40" s="103">
        <f>IF(CenaCelkemVypocet=0,"",I40/CenaCelkemVypocet*100)</f>
      </c>
    </row>
    <row r="41" spans="1:10" ht="25.5" customHeight="1">
      <c r="A41" s="85">
        <v>3</v>
      </c>
      <c r="B41" s="104" t="s">
        <v>130</v>
      </c>
      <c r="C41" s="202" t="s">
        <v>375</v>
      </c>
      <c r="D41" s="202"/>
      <c r="E41" s="202"/>
      <c r="F41" s="105">
        <v>0</v>
      </c>
      <c r="G41" s="98">
        <f>Polozky!G218</f>
        <v>0</v>
      </c>
      <c r="H41" s="98">
        <f>G41*1.21-G41</f>
        <v>0</v>
      </c>
      <c r="I41" s="98">
        <f>G41*1.21</f>
        <v>0</v>
      </c>
      <c r="J41" s="99">
        <f>IF(CenaCelkemVypocet=0,"",I41/CenaCelkemVypocet*100)</f>
      </c>
    </row>
    <row r="42" spans="1:10" ht="25.5" customHeight="1">
      <c r="A42" s="85"/>
      <c r="B42" s="199" t="s">
        <v>43</v>
      </c>
      <c r="C42" s="200"/>
      <c r="D42" s="200"/>
      <c r="E42" s="201"/>
      <c r="F42" s="106">
        <f>SUMIF(A39:A41,"=1",F39:F41)</f>
        <v>0</v>
      </c>
      <c r="G42" s="107">
        <f>G40</f>
        <v>0</v>
      </c>
      <c r="H42" s="107">
        <f>H40</f>
        <v>0</v>
      </c>
      <c r="I42" s="107">
        <f>I40</f>
        <v>0</v>
      </c>
      <c r="J42" s="108">
        <f>J40</f>
      </c>
    </row>
    <row r="46" spans="2:52" ht="32.25" customHeight="1">
      <c r="B46" s="252"/>
      <c r="C46" s="252"/>
      <c r="D46" s="252"/>
      <c r="E46" s="252"/>
      <c r="F46" s="252"/>
      <c r="G46" s="252"/>
      <c r="H46" s="252"/>
      <c r="I46" s="252"/>
      <c r="J46" s="252"/>
      <c r="AZ46" s="117">
        <f>B46</f>
        <v>0</v>
      </c>
    </row>
    <row r="47" spans="2:52" ht="18" customHeight="1">
      <c r="B47" s="180"/>
      <c r="C47" s="180"/>
      <c r="D47" s="180"/>
      <c r="E47" s="180"/>
      <c r="F47" s="180"/>
      <c r="G47" s="180"/>
      <c r="H47" s="180"/>
      <c r="I47" s="180"/>
      <c r="J47" s="180"/>
      <c r="AZ47" s="117"/>
    </row>
    <row r="49" ht="15.75">
      <c r="B49" s="118" t="s">
        <v>45</v>
      </c>
    </row>
    <row r="51" spans="1:10" ht="25.5" customHeight="1">
      <c r="A51" s="120"/>
      <c r="B51" s="123" t="s">
        <v>17</v>
      </c>
      <c r="C51" s="123" t="s">
        <v>6</v>
      </c>
      <c r="D51" s="124"/>
      <c r="E51" s="124"/>
      <c r="F51" s="125" t="s">
        <v>46</v>
      </c>
      <c r="G51" s="125"/>
      <c r="H51" s="125"/>
      <c r="I51" s="125" t="s">
        <v>28</v>
      </c>
      <c r="J51" s="125" t="s">
        <v>0</v>
      </c>
    </row>
    <row r="52" spans="1:10" ht="36.75" customHeight="1">
      <c r="A52" s="121"/>
      <c r="B52" s="126" t="s">
        <v>47</v>
      </c>
      <c r="C52" s="250" t="s">
        <v>48</v>
      </c>
      <c r="D52" s="251"/>
      <c r="E52" s="251"/>
      <c r="F52" s="134" t="s">
        <v>25</v>
      </c>
      <c r="G52" s="127"/>
      <c r="H52" s="127"/>
      <c r="I52" s="127">
        <f>Polozky!G8</f>
        <v>0</v>
      </c>
      <c r="J52" s="132">
        <f>IF(I66=0,"",I52/I66*100)</f>
      </c>
    </row>
    <row r="53" spans="1:10" ht="36.75" customHeight="1">
      <c r="A53" s="121"/>
      <c r="B53" s="126" t="s">
        <v>49</v>
      </c>
      <c r="C53" s="250" t="s">
        <v>50</v>
      </c>
      <c r="D53" s="251"/>
      <c r="E53" s="251"/>
      <c r="F53" s="134" t="s">
        <v>25</v>
      </c>
      <c r="G53" s="127"/>
      <c r="H53" s="127"/>
      <c r="I53" s="127">
        <f>Polozky!G31</f>
        <v>0</v>
      </c>
      <c r="J53" s="132">
        <f>IF(I66=0,"",I53/I66*100)</f>
      </c>
    </row>
    <row r="54" spans="1:10" ht="36.75" customHeight="1">
      <c r="A54" s="121"/>
      <c r="B54" s="126" t="s">
        <v>51</v>
      </c>
      <c r="C54" s="250" t="s">
        <v>52</v>
      </c>
      <c r="D54" s="251"/>
      <c r="E54" s="251"/>
      <c r="F54" s="134" t="s">
        <v>25</v>
      </c>
      <c r="G54" s="127"/>
      <c r="H54" s="127"/>
      <c r="I54" s="127">
        <f>Polozky!G64</f>
        <v>0</v>
      </c>
      <c r="J54" s="132">
        <f>IF(I66=0,"",I54/I66*100)</f>
      </c>
    </row>
    <row r="55" spans="1:10" ht="36.75" customHeight="1">
      <c r="A55" s="121"/>
      <c r="B55" s="126" t="s">
        <v>163</v>
      </c>
      <c r="C55" s="250" t="s">
        <v>164</v>
      </c>
      <c r="D55" s="251"/>
      <c r="E55" s="251"/>
      <c r="F55" s="134" t="s">
        <v>25</v>
      </c>
      <c r="G55" s="127"/>
      <c r="H55" s="127"/>
      <c r="I55" s="127">
        <f>Polozky!G95</f>
        <v>0</v>
      </c>
      <c r="J55" s="132">
        <f>IF(I66=0,"",I55/I66*100)</f>
      </c>
    </row>
    <row r="56" spans="1:10" ht="36.75" customHeight="1">
      <c r="A56" s="121"/>
      <c r="B56" s="126" t="s">
        <v>53</v>
      </c>
      <c r="C56" s="250" t="s">
        <v>54</v>
      </c>
      <c r="D56" s="251"/>
      <c r="E56" s="251"/>
      <c r="F56" s="134" t="s">
        <v>25</v>
      </c>
      <c r="G56" s="127"/>
      <c r="H56" s="127"/>
      <c r="I56" s="127">
        <f>Polozky!G100</f>
        <v>0</v>
      </c>
      <c r="J56" s="132">
        <f>IF(I66=0,"",I56/I66*100)</f>
      </c>
    </row>
    <row r="57" spans="1:10" ht="36.75" customHeight="1">
      <c r="A57" s="121"/>
      <c r="B57" s="126" t="s">
        <v>55</v>
      </c>
      <c r="C57" s="250" t="s">
        <v>56</v>
      </c>
      <c r="D57" s="251"/>
      <c r="E57" s="251"/>
      <c r="F57" s="134" t="s">
        <v>25</v>
      </c>
      <c r="G57" s="127"/>
      <c r="H57" s="127"/>
      <c r="I57" s="127">
        <f>Polozky!G103</f>
        <v>0</v>
      </c>
      <c r="J57" s="132">
        <f>IF(I66=0,"",I57/I66*100)</f>
      </c>
    </row>
    <row r="58" spans="1:10" ht="36.75" customHeight="1">
      <c r="A58" s="121"/>
      <c r="B58" s="126" t="s">
        <v>57</v>
      </c>
      <c r="C58" s="250" t="s">
        <v>58</v>
      </c>
      <c r="D58" s="251"/>
      <c r="E58" s="251"/>
      <c r="F58" s="134" t="s">
        <v>25</v>
      </c>
      <c r="G58" s="127"/>
      <c r="H58" s="127"/>
      <c r="I58" s="127">
        <f>Polozky!G115</f>
        <v>0</v>
      </c>
      <c r="J58" s="132">
        <f>IF(I66=0,"",I58/I66*100)</f>
      </c>
    </row>
    <row r="59" spans="1:10" ht="36.75" customHeight="1">
      <c r="A59" s="121"/>
      <c r="B59" s="126" t="s">
        <v>59</v>
      </c>
      <c r="C59" s="250" t="s">
        <v>60</v>
      </c>
      <c r="D59" s="251"/>
      <c r="E59" s="251"/>
      <c r="F59" s="134" t="s">
        <v>25</v>
      </c>
      <c r="G59" s="127"/>
      <c r="H59" s="127"/>
      <c r="I59" s="127">
        <f>Polozky!G136</f>
        <v>0</v>
      </c>
      <c r="J59" s="132">
        <f>IF(I66=0,"",I59/I66*100)</f>
      </c>
    </row>
    <row r="60" spans="1:10" ht="36.75" customHeight="1">
      <c r="A60" s="121"/>
      <c r="B60" s="126" t="s">
        <v>254</v>
      </c>
      <c r="C60" s="250" t="s">
        <v>255</v>
      </c>
      <c r="D60" s="251"/>
      <c r="E60" s="251"/>
      <c r="F60" s="134" t="s">
        <v>26</v>
      </c>
      <c r="G60" s="127"/>
      <c r="H60" s="127"/>
      <c r="I60" s="127">
        <f>Polozky!G138</f>
        <v>0</v>
      </c>
      <c r="J60" s="132">
        <f>IF(I66=0,"",I60/I66*100)</f>
      </c>
    </row>
    <row r="61" spans="1:10" ht="36.75" customHeight="1">
      <c r="A61" s="121"/>
      <c r="B61" s="126" t="s">
        <v>174</v>
      </c>
      <c r="C61" s="250" t="s">
        <v>183</v>
      </c>
      <c r="D61" s="251"/>
      <c r="E61" s="251"/>
      <c r="F61" s="134" t="s">
        <v>26</v>
      </c>
      <c r="G61" s="127"/>
      <c r="H61" s="127"/>
      <c r="I61" s="127">
        <f>Polozky!G145</f>
        <v>0</v>
      </c>
      <c r="J61" s="132">
        <f>IF(I66=0,"",I61/I66*100)</f>
      </c>
    </row>
    <row r="62" spans="1:10" ht="36.75" customHeight="1">
      <c r="A62" s="121"/>
      <c r="B62" s="126" t="s">
        <v>147</v>
      </c>
      <c r="C62" s="250" t="s">
        <v>148</v>
      </c>
      <c r="D62" s="251"/>
      <c r="E62" s="251"/>
      <c r="F62" s="134" t="s">
        <v>26</v>
      </c>
      <c r="G62" s="127"/>
      <c r="H62" s="127"/>
      <c r="I62" s="127">
        <f>Polozky!G154</f>
        <v>0</v>
      </c>
      <c r="J62" s="132">
        <f>IF(I66=0,"",I62/I66*100)</f>
      </c>
    </row>
    <row r="63" spans="1:10" ht="36.75" customHeight="1">
      <c r="A63" s="121"/>
      <c r="B63" s="126" t="s">
        <v>61</v>
      </c>
      <c r="C63" s="250" t="s">
        <v>62</v>
      </c>
      <c r="D63" s="251"/>
      <c r="E63" s="251"/>
      <c r="F63" s="134" t="s">
        <v>26</v>
      </c>
      <c r="G63" s="127"/>
      <c r="H63" s="127"/>
      <c r="I63" s="127">
        <f>Polozky!G171</f>
        <v>0</v>
      </c>
      <c r="J63" s="132">
        <f>IF(I66=0,"",I63/I66*100)</f>
      </c>
    </row>
    <row r="64" spans="1:10" ht="36.75" customHeight="1">
      <c r="A64" s="121"/>
      <c r="B64" s="126" t="s">
        <v>63</v>
      </c>
      <c r="C64" s="250" t="s">
        <v>64</v>
      </c>
      <c r="D64" s="251"/>
      <c r="E64" s="251"/>
      <c r="F64" s="134" t="s">
        <v>65</v>
      </c>
      <c r="G64" s="127"/>
      <c r="H64" s="127"/>
      <c r="I64" s="127">
        <f>Polozky!G187</f>
        <v>0</v>
      </c>
      <c r="J64" s="132">
        <f>IF(I66=0,"",I64/I66*100)</f>
      </c>
    </row>
    <row r="65" spans="1:10" ht="36.75" customHeight="1">
      <c r="A65" s="121"/>
      <c r="B65" s="126" t="s">
        <v>66</v>
      </c>
      <c r="C65" s="250" t="s">
        <v>191</v>
      </c>
      <c r="D65" s="251"/>
      <c r="E65" s="251"/>
      <c r="F65" s="134" t="s">
        <v>66</v>
      </c>
      <c r="G65" s="127"/>
      <c r="H65" s="127"/>
      <c r="I65" s="127">
        <f>Polozky!G194</f>
        <v>0</v>
      </c>
      <c r="J65" s="132">
        <f>IF(I66=0,"",I65/I66*100)</f>
      </c>
    </row>
    <row r="66" spans="1:10" ht="25.5" customHeight="1">
      <c r="A66" s="122"/>
      <c r="B66" s="128" t="s">
        <v>1</v>
      </c>
      <c r="C66" s="129"/>
      <c r="D66" s="130"/>
      <c r="E66" s="130"/>
      <c r="F66" s="135"/>
      <c r="G66" s="131"/>
      <c r="H66" s="131"/>
      <c r="I66" s="131">
        <f>SUM(I52:I65)</f>
        <v>0</v>
      </c>
      <c r="J66" s="133">
        <f>SUM(J52:J65)</f>
        <v>0</v>
      </c>
    </row>
    <row r="67" spans="6:10" ht="12.75">
      <c r="F67" s="83"/>
      <c r="G67" s="83"/>
      <c r="H67" s="83"/>
      <c r="I67" s="83"/>
      <c r="J67" s="84"/>
    </row>
    <row r="68" spans="6:10" ht="12.75">
      <c r="F68" s="83"/>
      <c r="G68" s="83"/>
      <c r="H68" s="83"/>
      <c r="I68" s="83"/>
      <c r="J68" s="84"/>
    </row>
    <row r="69" spans="6:10" ht="12.75">
      <c r="F69" s="83"/>
      <c r="G69" s="83"/>
      <c r="H69" s="83"/>
      <c r="I69" s="83"/>
      <c r="J69" s="84"/>
    </row>
  </sheetData>
  <sheetProtection/>
  <mergeCells count="61">
    <mergeCell ref="C65:E65"/>
    <mergeCell ref="E20:F20"/>
    <mergeCell ref="G20:H20"/>
    <mergeCell ref="I20:J20"/>
    <mergeCell ref="C53:E53"/>
    <mergeCell ref="C54:E54"/>
    <mergeCell ref="C55:E55"/>
    <mergeCell ref="C57:E57"/>
    <mergeCell ref="C58:E58"/>
    <mergeCell ref="C62:E62"/>
    <mergeCell ref="C64:E64"/>
    <mergeCell ref="C59:E59"/>
    <mergeCell ref="C56:E56"/>
    <mergeCell ref="C61:E61"/>
    <mergeCell ref="C63:E63"/>
    <mergeCell ref="B46:J46"/>
    <mergeCell ref="C52:E52"/>
    <mergeCell ref="C60:E60"/>
    <mergeCell ref="G18:H18"/>
    <mergeCell ref="G29:I29"/>
    <mergeCell ref="G25:I25"/>
    <mergeCell ref="I19:J19"/>
    <mergeCell ref="I17:J17"/>
    <mergeCell ref="I18:J18"/>
    <mergeCell ref="G23:I23"/>
    <mergeCell ref="G27:I27"/>
    <mergeCell ref="G21:H21"/>
    <mergeCell ref="G26:I26"/>
    <mergeCell ref="E18:F18"/>
    <mergeCell ref="E2:J2"/>
    <mergeCell ref="E3:J3"/>
    <mergeCell ref="E15:F15"/>
    <mergeCell ref="I15:J15"/>
    <mergeCell ref="I16:J16"/>
    <mergeCell ref="D6:G6"/>
    <mergeCell ref="E17:F17"/>
    <mergeCell ref="D12:G12"/>
    <mergeCell ref="G15:H15"/>
    <mergeCell ref="B1:J1"/>
    <mergeCell ref="E4:J4"/>
    <mergeCell ref="G16:H16"/>
    <mergeCell ref="G17:H17"/>
    <mergeCell ref="E16:F16"/>
    <mergeCell ref="E13:G13"/>
    <mergeCell ref="D5:G5"/>
    <mergeCell ref="E7:G7"/>
    <mergeCell ref="D14:H14"/>
    <mergeCell ref="D11:G11"/>
    <mergeCell ref="E19:F19"/>
    <mergeCell ref="I21:J21"/>
    <mergeCell ref="G19:H19"/>
    <mergeCell ref="G28:I28"/>
    <mergeCell ref="G34:I34"/>
    <mergeCell ref="E21:F21"/>
    <mergeCell ref="B42:E42"/>
    <mergeCell ref="C39:E39"/>
    <mergeCell ref="D35:E35"/>
    <mergeCell ref="G24:I24"/>
    <mergeCell ref="D34:E34"/>
    <mergeCell ref="C40:E40"/>
    <mergeCell ref="C41:E4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53" t="s">
        <v>7</v>
      </c>
      <c r="B1" s="253"/>
      <c r="C1" s="254"/>
      <c r="D1" s="253"/>
      <c r="E1" s="253"/>
      <c r="F1" s="253"/>
      <c r="G1" s="253"/>
    </row>
    <row r="2" spans="1:7" ht="24.75" customHeight="1">
      <c r="A2" s="49" t="s">
        <v>8</v>
      </c>
      <c r="B2" s="48"/>
      <c r="C2" s="255"/>
      <c r="D2" s="255"/>
      <c r="E2" s="255"/>
      <c r="F2" s="255"/>
      <c r="G2" s="256"/>
    </row>
    <row r="3" spans="1:7" ht="24.75" customHeight="1">
      <c r="A3" s="49" t="s">
        <v>9</v>
      </c>
      <c r="B3" s="48"/>
      <c r="C3" s="255"/>
      <c r="D3" s="255"/>
      <c r="E3" s="255"/>
      <c r="F3" s="255"/>
      <c r="G3" s="256"/>
    </row>
    <row r="4" spans="1:7" ht="24.75" customHeight="1">
      <c r="A4" s="49" t="s">
        <v>10</v>
      </c>
      <c r="B4" s="48"/>
      <c r="C4" s="255"/>
      <c r="D4" s="255"/>
      <c r="E4" s="255"/>
      <c r="F4" s="255"/>
      <c r="G4" s="256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526"/>
  <sheetViews>
    <sheetView zoomScale="150" zoomScaleNormal="150" zoomScalePageLayoutView="0" workbookViewId="0" topLeftCell="A1">
      <pane ySplit="7" topLeftCell="A8" activePane="bottomLeft" state="frozen"/>
      <selection pane="topLeft" activeCell="A1" sqref="A1"/>
      <selection pane="bottomLeft" activeCell="C17" sqref="C17"/>
    </sheetView>
  </sheetViews>
  <sheetFormatPr defaultColWidth="9.00390625" defaultRowHeight="12.75" outlineLevelRow="1"/>
  <cols>
    <col min="1" max="1" width="3.375" style="0" customWidth="1"/>
    <col min="2" max="2" width="12.625" style="119" customWidth="1"/>
    <col min="3" max="3" width="38.25390625" style="119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3" width="0" style="0" hidden="1" customWidth="1"/>
    <col min="14" max="17" width="8.75390625" style="0" customWidth="1"/>
    <col min="18" max="24" width="0" style="0" hidden="1" customWidth="1"/>
    <col min="25" max="26" width="8.00390625" style="0" customWidth="1"/>
    <col min="29" max="29" width="0" style="0" hidden="1" customWidth="1"/>
    <col min="31" max="41" width="0" style="0" hidden="1" customWidth="1"/>
    <col min="53" max="53" width="73.75390625" style="0" customWidth="1"/>
  </cols>
  <sheetData>
    <row r="1" spans="1:33" ht="15.75" customHeight="1">
      <c r="A1" s="259" t="s">
        <v>7</v>
      </c>
      <c r="B1" s="259"/>
      <c r="C1" s="259"/>
      <c r="D1" s="259"/>
      <c r="E1" s="259"/>
      <c r="F1" s="259"/>
      <c r="G1" s="259"/>
      <c r="AG1" t="s">
        <v>67</v>
      </c>
    </row>
    <row r="2" spans="1:33" ht="24.75" customHeight="1">
      <c r="A2" s="137" t="s">
        <v>8</v>
      </c>
      <c r="B2" s="48" t="s">
        <v>119</v>
      </c>
      <c r="C2" s="260" t="s">
        <v>278</v>
      </c>
      <c r="D2" s="261"/>
      <c r="E2" s="261"/>
      <c r="F2" s="261"/>
      <c r="G2" s="262"/>
      <c r="AG2" t="s">
        <v>68</v>
      </c>
    </row>
    <row r="3" spans="1:33" ht="24.75" customHeight="1">
      <c r="A3" s="137" t="s">
        <v>9</v>
      </c>
      <c r="B3" s="48" t="s">
        <v>42</v>
      </c>
      <c r="C3" s="263" t="s">
        <v>281</v>
      </c>
      <c r="D3" s="264"/>
      <c r="E3" s="264"/>
      <c r="F3" s="264"/>
      <c r="G3" s="265"/>
      <c r="AC3" s="119" t="s">
        <v>68</v>
      </c>
      <c r="AG3" t="s">
        <v>69</v>
      </c>
    </row>
    <row r="4" spans="1:33" ht="24.75" customHeight="1">
      <c r="A4" s="138" t="s">
        <v>10</v>
      </c>
      <c r="B4" s="179" t="s">
        <v>122</v>
      </c>
      <c r="C4" s="266" t="s">
        <v>376</v>
      </c>
      <c r="D4" s="267"/>
      <c r="E4" s="267"/>
      <c r="F4" s="267"/>
      <c r="G4" s="268"/>
      <c r="AG4" t="s">
        <v>70</v>
      </c>
    </row>
    <row r="5" ht="12.75">
      <c r="D5" s="10"/>
    </row>
    <row r="6" spans="1:26" ht="318.75">
      <c r="A6" s="140" t="s">
        <v>71</v>
      </c>
      <c r="B6" s="142" t="s">
        <v>72</v>
      </c>
      <c r="C6" s="142" t="s">
        <v>73</v>
      </c>
      <c r="D6" s="141" t="s">
        <v>74</v>
      </c>
      <c r="E6" s="140" t="s">
        <v>75</v>
      </c>
      <c r="F6" s="139" t="s">
        <v>76</v>
      </c>
      <c r="G6" s="140" t="s">
        <v>28</v>
      </c>
      <c r="H6" s="143" t="s">
        <v>29</v>
      </c>
      <c r="I6" s="143" t="s">
        <v>77</v>
      </c>
      <c r="J6" s="143" t="s">
        <v>30</v>
      </c>
      <c r="K6" s="143" t="s">
        <v>78</v>
      </c>
      <c r="L6" s="143" t="s">
        <v>79</v>
      </c>
      <c r="M6" s="143" t="s">
        <v>80</v>
      </c>
      <c r="N6" s="143" t="s">
        <v>81</v>
      </c>
      <c r="O6" s="143" t="s">
        <v>82</v>
      </c>
      <c r="P6" s="143" t="s">
        <v>83</v>
      </c>
      <c r="Q6" s="143" t="s">
        <v>84</v>
      </c>
      <c r="R6" s="143" t="s">
        <v>85</v>
      </c>
      <c r="S6" s="143" t="s">
        <v>86</v>
      </c>
      <c r="T6" s="143" t="s">
        <v>87</v>
      </c>
      <c r="U6" s="143" t="s">
        <v>88</v>
      </c>
      <c r="V6" s="143" t="s">
        <v>89</v>
      </c>
      <c r="W6" s="143" t="s">
        <v>90</v>
      </c>
      <c r="X6" s="143" t="s">
        <v>91</v>
      </c>
      <c r="Y6" s="143" t="s">
        <v>140</v>
      </c>
      <c r="Z6" s="143" t="s">
        <v>87</v>
      </c>
    </row>
    <row r="7" spans="1:24" ht="1.5" customHeight="1">
      <c r="A7" s="3"/>
      <c r="B7" s="4"/>
      <c r="C7" s="4"/>
      <c r="D7" s="6"/>
      <c r="E7" s="145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</row>
    <row r="8" spans="1:33" ht="12.75">
      <c r="A8" s="153" t="s">
        <v>92</v>
      </c>
      <c r="B8" s="154" t="s">
        <v>47</v>
      </c>
      <c r="C8" s="170" t="s">
        <v>48</v>
      </c>
      <c r="D8" s="155"/>
      <c r="E8" s="156"/>
      <c r="F8" s="157"/>
      <c r="G8" s="157">
        <f>SUMIF(AG9:AG30,"&lt;&gt;NOR",G9:G30)</f>
        <v>0</v>
      </c>
      <c r="H8" s="157"/>
      <c r="I8" s="157" t="e">
        <f>SUM(#REF!)</f>
        <v>#REF!</v>
      </c>
      <c r="J8" s="157"/>
      <c r="K8" s="157" t="e">
        <f>SUM(#REF!)</f>
        <v>#REF!</v>
      </c>
      <c r="L8" s="157"/>
      <c r="M8" s="157" t="e">
        <f>SUM(#REF!)</f>
        <v>#REF!</v>
      </c>
      <c r="N8" s="157"/>
      <c r="O8" s="157">
        <f>SUM(O9:O30)</f>
        <v>4.840000000000001</v>
      </c>
      <c r="P8" s="157"/>
      <c r="Q8" s="178">
        <f>SUM(Q9:Q30)</f>
        <v>0</v>
      </c>
      <c r="R8" s="152"/>
      <c r="S8" s="152"/>
      <c r="T8" s="152"/>
      <c r="U8" s="152"/>
      <c r="V8" s="152" t="e">
        <f>SUM(#REF!)</f>
        <v>#REF!</v>
      </c>
      <c r="W8" s="152"/>
      <c r="X8" s="152"/>
      <c r="Y8" s="178"/>
      <c r="Z8" s="184"/>
      <c r="AG8" t="s">
        <v>93</v>
      </c>
    </row>
    <row r="9" spans="1:60" ht="12.75" customHeight="1" outlineLevel="1">
      <c r="A9" s="158">
        <v>1</v>
      </c>
      <c r="B9" s="159" t="s">
        <v>123</v>
      </c>
      <c r="C9" s="171" t="s">
        <v>124</v>
      </c>
      <c r="D9" s="160" t="s">
        <v>94</v>
      </c>
      <c r="E9" s="161">
        <f>SUM(E11:E11)</f>
        <v>0.08</v>
      </c>
      <c r="F9" s="176">
        <v>0</v>
      </c>
      <c r="G9" s="162">
        <f>ROUND(E9*F9,2)</f>
        <v>0</v>
      </c>
      <c r="H9" s="162">
        <v>1597.25</v>
      </c>
      <c r="I9" s="162">
        <f>ROUND(E9*H9,2)</f>
        <v>127.78</v>
      </c>
      <c r="J9" s="162">
        <v>306.75</v>
      </c>
      <c r="K9" s="162">
        <f>ROUND(E9*J9,2)</f>
        <v>24.54</v>
      </c>
      <c r="L9" s="162">
        <v>21</v>
      </c>
      <c r="M9" s="162">
        <f>G9*(1+L9/100)</f>
        <v>0</v>
      </c>
      <c r="N9" s="162">
        <v>1.95</v>
      </c>
      <c r="O9" s="162">
        <f>ROUND(E9*N9,2)</f>
        <v>0.16</v>
      </c>
      <c r="P9" s="162">
        <v>0</v>
      </c>
      <c r="Q9" s="163">
        <f>ROUND(E9*P9,2)</f>
        <v>0</v>
      </c>
      <c r="R9" s="149"/>
      <c r="S9" s="149" t="s">
        <v>95</v>
      </c>
      <c r="T9" s="149" t="s">
        <v>95</v>
      </c>
      <c r="U9" s="149">
        <v>0.6622</v>
      </c>
      <c r="V9" s="149">
        <f>ROUND(E9*U9,2)</f>
        <v>0.05</v>
      </c>
      <c r="W9" s="149"/>
      <c r="X9" s="149" t="s">
        <v>96</v>
      </c>
      <c r="Y9" s="183" t="s">
        <v>221</v>
      </c>
      <c r="Z9" s="183" t="s">
        <v>221</v>
      </c>
      <c r="AA9" s="144"/>
      <c r="AB9" s="144"/>
      <c r="AC9" s="144"/>
      <c r="AD9" s="144"/>
      <c r="AE9" s="144"/>
      <c r="AF9" s="144"/>
      <c r="AG9" s="144" t="s">
        <v>97</v>
      </c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</row>
    <row r="10" spans="1:60" ht="12.75" outlineLevel="1">
      <c r="A10" s="147"/>
      <c r="B10" s="148"/>
      <c r="C10" s="257" t="s">
        <v>108</v>
      </c>
      <c r="D10" s="258"/>
      <c r="E10" s="258"/>
      <c r="F10" s="258"/>
      <c r="G10" s="258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4"/>
      <c r="Z10" s="144"/>
      <c r="AA10" s="144"/>
      <c r="AB10" s="144"/>
      <c r="AC10" s="144"/>
      <c r="AD10" s="144"/>
      <c r="AE10" s="144"/>
      <c r="AF10" s="144"/>
      <c r="AG10" s="144" t="s">
        <v>99</v>
      </c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</row>
    <row r="11" spans="1:60" ht="12.75" outlineLevel="1">
      <c r="A11" s="147"/>
      <c r="B11" s="148"/>
      <c r="C11" s="175" t="s">
        <v>282</v>
      </c>
      <c r="D11" s="150"/>
      <c r="E11" s="151">
        <f>2*0.04</f>
        <v>0.08</v>
      </c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4"/>
      <c r="Z11" s="144"/>
      <c r="AA11" s="144"/>
      <c r="AB11" s="144"/>
      <c r="AC11" s="144"/>
      <c r="AD11" s="144"/>
      <c r="AE11" s="144"/>
      <c r="AF11" s="144"/>
      <c r="AG11" s="144" t="s">
        <v>98</v>
      </c>
      <c r="AH11" s="144">
        <v>0</v>
      </c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</row>
    <row r="12" spans="1:60" ht="12.75" customHeight="1" outlineLevel="1">
      <c r="A12" s="158">
        <v>2</v>
      </c>
      <c r="B12" s="159" t="s">
        <v>284</v>
      </c>
      <c r="C12" s="171" t="s">
        <v>283</v>
      </c>
      <c r="D12" s="160" t="s">
        <v>100</v>
      </c>
      <c r="E12" s="161">
        <f>SUM(E13:E14)</f>
        <v>32.44</v>
      </c>
      <c r="F12" s="185">
        <v>0</v>
      </c>
      <c r="G12" s="162">
        <f>ROUND(E12*F12,2)</f>
        <v>0</v>
      </c>
      <c r="H12" s="162">
        <v>401.75</v>
      </c>
      <c r="I12" s="162">
        <f>ROUND(E12*H12,2)</f>
        <v>13032.77</v>
      </c>
      <c r="J12" s="162">
        <v>238.25</v>
      </c>
      <c r="K12" s="162">
        <f>ROUND(E12*J12,2)</f>
        <v>7728.83</v>
      </c>
      <c r="L12" s="162">
        <v>21</v>
      </c>
      <c r="M12" s="162">
        <f>G12*(1+L12/100)</f>
        <v>0</v>
      </c>
      <c r="N12" s="162">
        <v>0.128</v>
      </c>
      <c r="O12" s="162">
        <f>ROUND(E12*N12,2)</f>
        <v>4.15</v>
      </c>
      <c r="P12" s="162">
        <v>0</v>
      </c>
      <c r="Q12" s="163">
        <f>ROUND(E12*P12,2)</f>
        <v>0</v>
      </c>
      <c r="R12" s="149"/>
      <c r="S12" s="149" t="s">
        <v>95</v>
      </c>
      <c r="T12" s="149" t="s">
        <v>95</v>
      </c>
      <c r="U12" s="149">
        <v>0.51745</v>
      </c>
      <c r="V12" s="149">
        <f>ROUND(E12*U12,2)</f>
        <v>16.79</v>
      </c>
      <c r="W12" s="149"/>
      <c r="X12" s="149" t="s">
        <v>96</v>
      </c>
      <c r="Y12" s="183" t="s">
        <v>221</v>
      </c>
      <c r="Z12" s="183" t="s">
        <v>221</v>
      </c>
      <c r="AA12" s="144"/>
      <c r="AB12" s="144"/>
      <c r="AC12" s="144"/>
      <c r="AD12" s="144"/>
      <c r="AE12" s="144"/>
      <c r="AF12" s="144"/>
      <c r="AG12" s="144" t="s">
        <v>97</v>
      </c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</row>
    <row r="13" spans="1:60" ht="12.75" outlineLevel="1">
      <c r="A13" s="147"/>
      <c r="B13" s="148"/>
      <c r="C13" s="257" t="s">
        <v>108</v>
      </c>
      <c r="D13" s="258"/>
      <c r="E13" s="258"/>
      <c r="F13" s="258"/>
      <c r="G13" s="258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4"/>
      <c r="Z13" s="144"/>
      <c r="AA13" s="144"/>
      <c r="AB13" s="144"/>
      <c r="AC13" s="144"/>
      <c r="AD13" s="144"/>
      <c r="AE13" s="144"/>
      <c r="AF13" s="144"/>
      <c r="AG13" s="144" t="s">
        <v>99</v>
      </c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</row>
    <row r="14" spans="1:60" ht="12.75" outlineLevel="1">
      <c r="A14" s="147"/>
      <c r="B14" s="148"/>
      <c r="C14" s="175" t="s">
        <v>286</v>
      </c>
      <c r="D14" s="150"/>
      <c r="E14" s="151">
        <f>3.6*3.6+6.3*3.6-1.6*2</f>
        <v>32.44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4"/>
      <c r="Z14" s="144"/>
      <c r="AA14" s="144"/>
      <c r="AB14" s="144"/>
      <c r="AC14" s="144"/>
      <c r="AD14" s="144"/>
      <c r="AE14" s="144"/>
      <c r="AF14" s="144"/>
      <c r="AG14" s="144" t="s">
        <v>98</v>
      </c>
      <c r="AH14" s="144">
        <v>0</v>
      </c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</row>
    <row r="15" spans="1:60" ht="12.75" outlineLevel="1">
      <c r="A15" s="158">
        <v>3</v>
      </c>
      <c r="B15" s="159" t="s">
        <v>232</v>
      </c>
      <c r="C15" s="171" t="s">
        <v>233</v>
      </c>
      <c r="D15" s="160" t="s">
        <v>103</v>
      </c>
      <c r="E15" s="161">
        <f>SUM(E16:E17)</f>
        <v>31.5</v>
      </c>
      <c r="F15" s="185">
        <v>0</v>
      </c>
      <c r="G15" s="162">
        <f>ROUND(E15*F15,2)</f>
        <v>0</v>
      </c>
      <c r="H15" s="162">
        <v>22.63</v>
      </c>
      <c r="I15" s="162">
        <f>ROUND(E15*H15,2)</f>
        <v>712.85</v>
      </c>
      <c r="J15" s="162">
        <v>104.87</v>
      </c>
      <c r="K15" s="162">
        <f>ROUND(E15*J15,2)</f>
        <v>3303.41</v>
      </c>
      <c r="L15" s="162">
        <v>21</v>
      </c>
      <c r="M15" s="162">
        <f>G15*(1+L15/100)</f>
        <v>0</v>
      </c>
      <c r="N15" s="162">
        <v>0.0015</v>
      </c>
      <c r="O15" s="162">
        <f>ROUND(E15*N15,2)</f>
        <v>0.05</v>
      </c>
      <c r="P15" s="162">
        <v>0</v>
      </c>
      <c r="Q15" s="163">
        <f>ROUND(E15*P15,2)</f>
        <v>0</v>
      </c>
      <c r="R15" s="149"/>
      <c r="S15" s="149" t="s">
        <v>95</v>
      </c>
      <c r="T15" s="149" t="s">
        <v>95</v>
      </c>
      <c r="U15" s="149">
        <v>0.223</v>
      </c>
      <c r="V15" s="149">
        <f>ROUND(E15*U15,2)</f>
        <v>7.02</v>
      </c>
      <c r="W15" s="149"/>
      <c r="X15" s="149" t="s">
        <v>96</v>
      </c>
      <c r="Y15" s="183" t="s">
        <v>221</v>
      </c>
      <c r="Z15" s="183" t="s">
        <v>221</v>
      </c>
      <c r="AA15" s="144"/>
      <c r="AB15" s="144"/>
      <c r="AC15" s="144"/>
      <c r="AD15" s="144"/>
      <c r="AE15" s="144"/>
      <c r="AF15" s="144"/>
      <c r="AG15" s="144" t="s">
        <v>97</v>
      </c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</row>
    <row r="16" spans="1:60" ht="12.75" outlineLevel="1">
      <c r="A16" s="147"/>
      <c r="B16" s="148"/>
      <c r="C16" s="257" t="s">
        <v>234</v>
      </c>
      <c r="D16" s="258"/>
      <c r="E16" s="258"/>
      <c r="F16" s="258"/>
      <c r="G16" s="258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4"/>
      <c r="Z16" s="144"/>
      <c r="AA16" s="144"/>
      <c r="AB16" s="144"/>
      <c r="AC16" s="144"/>
      <c r="AD16" s="144"/>
      <c r="AE16" s="144"/>
      <c r="AF16" s="144"/>
      <c r="AG16" s="144" t="s">
        <v>99</v>
      </c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</row>
    <row r="17" spans="1:60" ht="12" customHeight="1" outlineLevel="1">
      <c r="A17" s="147"/>
      <c r="B17" s="148"/>
      <c r="C17" s="175" t="s">
        <v>285</v>
      </c>
      <c r="D17" s="150"/>
      <c r="E17" s="151">
        <f>3.6+6.3+3.6*6</f>
        <v>31.5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4"/>
      <c r="Z17" s="144"/>
      <c r="AA17" s="144"/>
      <c r="AB17" s="144"/>
      <c r="AC17" s="144"/>
      <c r="AD17" s="144"/>
      <c r="AE17" s="144"/>
      <c r="AF17" s="144"/>
      <c r="AG17" s="144" t="s">
        <v>98</v>
      </c>
      <c r="AH17" s="144">
        <v>0</v>
      </c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</row>
    <row r="18" spans="1:60" ht="24" customHeight="1" outlineLevel="1">
      <c r="A18" s="158">
        <v>4</v>
      </c>
      <c r="B18" s="159" t="s">
        <v>235</v>
      </c>
      <c r="C18" s="171" t="s">
        <v>236</v>
      </c>
      <c r="D18" s="160" t="s">
        <v>94</v>
      </c>
      <c r="E18" s="161">
        <f>SUM(E20:E20)</f>
        <v>0.09</v>
      </c>
      <c r="F18" s="185">
        <v>0</v>
      </c>
      <c r="G18" s="162">
        <f>ROUND(E18*F18,2)</f>
        <v>0</v>
      </c>
      <c r="H18" s="162">
        <v>1597.25</v>
      </c>
      <c r="I18" s="162">
        <f>ROUND(E18*H18,2)</f>
        <v>143.75</v>
      </c>
      <c r="J18" s="162">
        <v>306.75</v>
      </c>
      <c r="K18" s="162">
        <f>ROUND(E18*J18,2)</f>
        <v>27.61</v>
      </c>
      <c r="L18" s="162">
        <v>21</v>
      </c>
      <c r="M18" s="162">
        <f>G18*(1+L18/100)</f>
        <v>0</v>
      </c>
      <c r="N18" s="162">
        <v>1.95</v>
      </c>
      <c r="O18" s="162">
        <f>ROUND(E18*N18,2)</f>
        <v>0.18</v>
      </c>
      <c r="P18" s="162">
        <v>0</v>
      </c>
      <c r="Q18" s="163">
        <f>ROUND(E18*P18,2)</f>
        <v>0</v>
      </c>
      <c r="R18" s="149"/>
      <c r="S18" s="149" t="s">
        <v>95</v>
      </c>
      <c r="T18" s="149" t="s">
        <v>95</v>
      </c>
      <c r="U18" s="149">
        <v>0.6622</v>
      </c>
      <c r="V18" s="149">
        <f>ROUND(E18*U18,2)</f>
        <v>0.06</v>
      </c>
      <c r="W18" s="149"/>
      <c r="X18" s="149" t="s">
        <v>96</v>
      </c>
      <c r="Y18" s="183" t="s">
        <v>221</v>
      </c>
      <c r="Z18" s="183" t="s">
        <v>221</v>
      </c>
      <c r="AA18" s="144"/>
      <c r="AB18" s="144"/>
      <c r="AC18" s="144"/>
      <c r="AD18" s="144"/>
      <c r="AE18" s="144"/>
      <c r="AF18" s="144"/>
      <c r="AG18" s="144" t="s">
        <v>97</v>
      </c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</row>
    <row r="19" spans="1:60" ht="12.75" outlineLevel="1">
      <c r="A19" s="147"/>
      <c r="B19" s="148"/>
      <c r="C19" s="257" t="s">
        <v>108</v>
      </c>
      <c r="D19" s="258"/>
      <c r="E19" s="258"/>
      <c r="F19" s="258"/>
      <c r="G19" s="258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4"/>
      <c r="Z19" s="144"/>
      <c r="AA19" s="144"/>
      <c r="AB19" s="144"/>
      <c r="AC19" s="144"/>
      <c r="AD19" s="144"/>
      <c r="AE19" s="144"/>
      <c r="AF19" s="144"/>
      <c r="AG19" s="144" t="s">
        <v>99</v>
      </c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</row>
    <row r="20" spans="1:60" ht="12.75" outlineLevel="1">
      <c r="A20" s="147"/>
      <c r="B20" s="148"/>
      <c r="C20" s="175" t="s">
        <v>293</v>
      </c>
      <c r="D20" s="150"/>
      <c r="E20" s="151">
        <f>0.4*0.15*1.5</f>
        <v>0.09</v>
      </c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4"/>
      <c r="Z20" s="144"/>
      <c r="AA20" s="144"/>
      <c r="AB20" s="144"/>
      <c r="AC20" s="144"/>
      <c r="AD20" s="144"/>
      <c r="AE20" s="144"/>
      <c r="AF20" s="144"/>
      <c r="AG20" s="144" t="s">
        <v>98</v>
      </c>
      <c r="AH20" s="144">
        <v>0</v>
      </c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</row>
    <row r="21" spans="1:60" ht="24" customHeight="1" outlineLevel="1">
      <c r="A21" s="158">
        <v>5</v>
      </c>
      <c r="B21" s="159" t="s">
        <v>287</v>
      </c>
      <c r="C21" s="171" t="s">
        <v>288</v>
      </c>
      <c r="D21" s="160" t="s">
        <v>101</v>
      </c>
      <c r="E21" s="161">
        <f>SUM(E22:E23)</f>
        <v>0.066</v>
      </c>
      <c r="F21" s="185">
        <v>0</v>
      </c>
      <c r="G21" s="162">
        <f>ROUND(E21*F21,2)</f>
        <v>0</v>
      </c>
      <c r="H21" s="162">
        <v>1597.25</v>
      </c>
      <c r="I21" s="162">
        <f>ROUND(E21*H21,2)</f>
        <v>105.42</v>
      </c>
      <c r="J21" s="162">
        <v>306.75</v>
      </c>
      <c r="K21" s="162">
        <f>ROUND(E21*J21,2)</f>
        <v>20.25</v>
      </c>
      <c r="L21" s="162">
        <v>21</v>
      </c>
      <c r="M21" s="162">
        <f>G21*(1+L21/100)</f>
        <v>0</v>
      </c>
      <c r="N21" s="162">
        <v>1.1</v>
      </c>
      <c r="O21" s="162">
        <f>ROUND(E21*N21,2)</f>
        <v>0.07</v>
      </c>
      <c r="P21" s="162">
        <v>0</v>
      </c>
      <c r="Q21" s="163">
        <f>ROUND(E21*P21,2)</f>
        <v>0</v>
      </c>
      <c r="R21" s="149"/>
      <c r="S21" s="149" t="s">
        <v>95</v>
      </c>
      <c r="T21" s="149" t="s">
        <v>95</v>
      </c>
      <c r="U21" s="149">
        <v>0.6622</v>
      </c>
      <c r="V21" s="149">
        <f>ROUND(E21*U21,2)</f>
        <v>0.04</v>
      </c>
      <c r="W21" s="149"/>
      <c r="X21" s="149" t="s">
        <v>96</v>
      </c>
      <c r="Y21" s="183" t="s">
        <v>221</v>
      </c>
      <c r="Z21" s="183" t="s">
        <v>221</v>
      </c>
      <c r="AA21" s="144"/>
      <c r="AB21" s="144"/>
      <c r="AC21" s="144"/>
      <c r="AD21" s="144"/>
      <c r="AE21" s="144"/>
      <c r="AF21" s="144"/>
      <c r="AG21" s="144" t="s">
        <v>97</v>
      </c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</row>
    <row r="22" spans="1:60" ht="12.75" outlineLevel="1">
      <c r="A22" s="147"/>
      <c r="B22" s="148"/>
      <c r="C22" s="257" t="s">
        <v>108</v>
      </c>
      <c r="D22" s="258"/>
      <c r="E22" s="258"/>
      <c r="F22" s="258"/>
      <c r="G22" s="258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4"/>
      <c r="Z22" s="144"/>
      <c r="AA22" s="144"/>
      <c r="AB22" s="144"/>
      <c r="AC22" s="144"/>
      <c r="AD22" s="144"/>
      <c r="AE22" s="144"/>
      <c r="AF22" s="144"/>
      <c r="AG22" s="144" t="s">
        <v>99</v>
      </c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</row>
    <row r="23" spans="1:60" ht="12.75" outlineLevel="1">
      <c r="A23" s="147"/>
      <c r="B23" s="148"/>
      <c r="C23" s="175" t="s">
        <v>289</v>
      </c>
      <c r="D23" s="150"/>
      <c r="E23" s="151">
        <f>0.055*1.2</f>
        <v>0.066</v>
      </c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4"/>
      <c r="Z23" s="144"/>
      <c r="AA23" s="144"/>
      <c r="AB23" s="144"/>
      <c r="AC23" s="144"/>
      <c r="AD23" s="144"/>
      <c r="AE23" s="144"/>
      <c r="AF23" s="144"/>
      <c r="AG23" s="144" t="s">
        <v>98</v>
      </c>
      <c r="AH23" s="144">
        <v>0</v>
      </c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</row>
    <row r="24" spans="1:60" ht="24" customHeight="1" outlineLevel="1">
      <c r="A24" s="158">
        <v>6</v>
      </c>
      <c r="B24" s="159" t="s">
        <v>290</v>
      </c>
      <c r="C24" s="171" t="s">
        <v>291</v>
      </c>
      <c r="D24" s="160" t="s">
        <v>101</v>
      </c>
      <c r="E24" s="161">
        <f>SUM(E25:E26)</f>
        <v>1</v>
      </c>
      <c r="F24" s="185">
        <v>0</v>
      </c>
      <c r="G24" s="162">
        <f>ROUND(E24*F24,2)</f>
        <v>0</v>
      </c>
      <c r="H24" s="162">
        <v>1597.25</v>
      </c>
      <c r="I24" s="162">
        <f>ROUND(E24*H24,2)</f>
        <v>1597.25</v>
      </c>
      <c r="J24" s="162">
        <v>306.75</v>
      </c>
      <c r="K24" s="162">
        <f>ROUND(E24*J24,2)</f>
        <v>306.75</v>
      </c>
      <c r="L24" s="162">
        <v>21</v>
      </c>
      <c r="M24" s="162">
        <f>G24*(1+L24/100)</f>
        <v>0</v>
      </c>
      <c r="N24" s="162">
        <v>0.065</v>
      </c>
      <c r="O24" s="162">
        <f>ROUND(E24*N24,2)</f>
        <v>0.07</v>
      </c>
      <c r="P24" s="162">
        <v>0</v>
      </c>
      <c r="Q24" s="163">
        <f>ROUND(E24*P24,2)</f>
        <v>0</v>
      </c>
      <c r="R24" s="149"/>
      <c r="S24" s="149" t="s">
        <v>95</v>
      </c>
      <c r="T24" s="149" t="s">
        <v>95</v>
      </c>
      <c r="U24" s="149">
        <v>0.6622</v>
      </c>
      <c r="V24" s="149">
        <f>ROUND(E24*U24,2)</f>
        <v>0.66</v>
      </c>
      <c r="W24" s="149"/>
      <c r="X24" s="149" t="s">
        <v>96</v>
      </c>
      <c r="Y24" s="183" t="s">
        <v>221</v>
      </c>
      <c r="Z24" s="183" t="s">
        <v>221</v>
      </c>
      <c r="AA24" s="144"/>
      <c r="AB24" s="144"/>
      <c r="AC24" s="144"/>
      <c r="AD24" s="144"/>
      <c r="AE24" s="144"/>
      <c r="AF24" s="144"/>
      <c r="AG24" s="144" t="s">
        <v>97</v>
      </c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</row>
    <row r="25" spans="1:60" ht="12.75" outlineLevel="1">
      <c r="A25" s="147"/>
      <c r="B25" s="148"/>
      <c r="C25" s="257" t="s">
        <v>108</v>
      </c>
      <c r="D25" s="258"/>
      <c r="E25" s="258"/>
      <c r="F25" s="258"/>
      <c r="G25" s="258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4"/>
      <c r="Z25" s="144"/>
      <c r="AA25" s="144"/>
      <c r="AB25" s="144"/>
      <c r="AC25" s="144"/>
      <c r="AD25" s="144"/>
      <c r="AE25" s="144"/>
      <c r="AF25" s="144"/>
      <c r="AG25" s="144" t="s">
        <v>99</v>
      </c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</row>
    <row r="26" spans="1:60" ht="12.75" outlineLevel="1">
      <c r="A26" s="147"/>
      <c r="B26" s="148"/>
      <c r="C26" s="175" t="s">
        <v>292</v>
      </c>
      <c r="D26" s="150"/>
      <c r="E26" s="151">
        <f>1</f>
        <v>1</v>
      </c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4"/>
      <c r="Z26" s="144"/>
      <c r="AA26" s="144"/>
      <c r="AB26" s="144"/>
      <c r="AC26" s="144"/>
      <c r="AD26" s="144"/>
      <c r="AE26" s="144"/>
      <c r="AF26" s="144"/>
      <c r="AG26" s="144" t="s">
        <v>98</v>
      </c>
      <c r="AH26" s="144">
        <v>0</v>
      </c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</row>
    <row r="27" spans="1:60" ht="24" customHeight="1" outlineLevel="1">
      <c r="A27" s="158">
        <v>7</v>
      </c>
      <c r="B27" s="159" t="s">
        <v>237</v>
      </c>
      <c r="C27" s="171" t="s">
        <v>238</v>
      </c>
      <c r="D27" s="160" t="s">
        <v>100</v>
      </c>
      <c r="E27" s="161">
        <f>SUM(E28:E28)</f>
        <v>1.7999999999999998</v>
      </c>
      <c r="F27" s="185">
        <v>0</v>
      </c>
      <c r="G27" s="162">
        <f>ROUND(E27*F27,2)</f>
        <v>0</v>
      </c>
      <c r="H27" s="162">
        <v>1597.25</v>
      </c>
      <c r="I27" s="162">
        <f>ROUND(E27*H27,2)</f>
        <v>2875.05</v>
      </c>
      <c r="J27" s="162">
        <v>306.75</v>
      </c>
      <c r="K27" s="162">
        <f>ROUND(E27*J27,2)</f>
        <v>552.15</v>
      </c>
      <c r="L27" s="162">
        <v>21</v>
      </c>
      <c r="M27" s="162">
        <f>G27*(1+L27/100)</f>
        <v>0</v>
      </c>
      <c r="N27" s="162">
        <v>0.05</v>
      </c>
      <c r="O27" s="162">
        <f>ROUND(E27*N27,2)</f>
        <v>0.09</v>
      </c>
      <c r="P27" s="162">
        <v>0</v>
      </c>
      <c r="Q27" s="163">
        <f>ROUND(E27*P27,2)</f>
        <v>0</v>
      </c>
      <c r="R27" s="149"/>
      <c r="S27" s="149" t="s">
        <v>95</v>
      </c>
      <c r="T27" s="149" t="s">
        <v>95</v>
      </c>
      <c r="U27" s="149">
        <v>0.6622</v>
      </c>
      <c r="V27" s="149">
        <f>ROUND(E27*U27,2)</f>
        <v>1.19</v>
      </c>
      <c r="W27" s="149"/>
      <c r="X27" s="149" t="s">
        <v>96</v>
      </c>
      <c r="Y27" s="183" t="s">
        <v>221</v>
      </c>
      <c r="Z27" s="183" t="s">
        <v>221</v>
      </c>
      <c r="AA27" s="144"/>
      <c r="AB27" s="144"/>
      <c r="AC27" s="144"/>
      <c r="AD27" s="144"/>
      <c r="AE27" s="144"/>
      <c r="AF27" s="144"/>
      <c r="AG27" s="144" t="s">
        <v>97</v>
      </c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</row>
    <row r="28" spans="1:60" ht="12.75" outlineLevel="1">
      <c r="A28" s="147"/>
      <c r="B28" s="148"/>
      <c r="C28" s="175" t="s">
        <v>294</v>
      </c>
      <c r="D28" s="150"/>
      <c r="E28" s="151">
        <f>1.5*0.6+2*0.45</f>
        <v>1.7999999999999998</v>
      </c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4"/>
      <c r="Z28" s="144"/>
      <c r="AA28" s="144"/>
      <c r="AB28" s="144"/>
      <c r="AC28" s="144"/>
      <c r="AD28" s="144"/>
      <c r="AE28" s="144"/>
      <c r="AF28" s="144"/>
      <c r="AG28" s="144" t="s">
        <v>98</v>
      </c>
      <c r="AH28" s="144">
        <v>0</v>
      </c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</row>
    <row r="29" spans="1:60" ht="24" customHeight="1" outlineLevel="1">
      <c r="A29" s="158">
        <v>8</v>
      </c>
      <c r="B29" s="159" t="s">
        <v>136</v>
      </c>
      <c r="C29" s="171" t="s">
        <v>137</v>
      </c>
      <c r="D29" s="160" t="s">
        <v>100</v>
      </c>
      <c r="E29" s="161">
        <f>SUM(E30:E30)</f>
        <v>2.32</v>
      </c>
      <c r="F29" s="176">
        <v>0</v>
      </c>
      <c r="G29" s="162">
        <f>ROUND(E29*F29,2)</f>
        <v>0</v>
      </c>
      <c r="H29" s="162">
        <v>1597.25</v>
      </c>
      <c r="I29" s="162">
        <f>ROUND(E29*H29,2)</f>
        <v>3705.62</v>
      </c>
      <c r="J29" s="162">
        <v>306.75</v>
      </c>
      <c r="K29" s="162">
        <f>ROUND(E29*J29,2)</f>
        <v>711.66</v>
      </c>
      <c r="L29" s="162">
        <v>21</v>
      </c>
      <c r="M29" s="162">
        <f>G29*(1+L29/100)</f>
        <v>0</v>
      </c>
      <c r="N29" s="162">
        <v>0.03</v>
      </c>
      <c r="O29" s="162">
        <f>ROUND(E29*N29,2)</f>
        <v>0.07</v>
      </c>
      <c r="P29" s="162">
        <v>0</v>
      </c>
      <c r="Q29" s="163">
        <f>ROUND(E29*P29,2)</f>
        <v>0</v>
      </c>
      <c r="R29" s="149"/>
      <c r="S29" s="149" t="s">
        <v>95</v>
      </c>
      <c r="T29" s="149" t="s">
        <v>95</v>
      </c>
      <c r="U29" s="149">
        <v>0.6622</v>
      </c>
      <c r="V29" s="149">
        <f>ROUND(E29*U29,2)</f>
        <v>1.54</v>
      </c>
      <c r="W29" s="149"/>
      <c r="X29" s="149" t="s">
        <v>96</v>
      </c>
      <c r="Y29" s="183" t="s">
        <v>221</v>
      </c>
      <c r="Z29" s="183" t="s">
        <v>221</v>
      </c>
      <c r="AA29" s="144"/>
      <c r="AB29" s="144"/>
      <c r="AC29" s="144"/>
      <c r="AD29" s="144"/>
      <c r="AE29" s="144"/>
      <c r="AF29" s="144"/>
      <c r="AG29" s="144" t="s">
        <v>97</v>
      </c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</row>
    <row r="30" spans="1:60" ht="12.75" outlineLevel="1">
      <c r="A30" s="147"/>
      <c r="B30" s="148"/>
      <c r="C30" s="175" t="s">
        <v>295</v>
      </c>
      <c r="D30" s="150"/>
      <c r="E30" s="151">
        <f>(2.3+1.2+2.3)*0.4</f>
        <v>2.32</v>
      </c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4"/>
      <c r="Z30" s="144"/>
      <c r="AA30" s="144"/>
      <c r="AB30" s="144"/>
      <c r="AC30" s="144"/>
      <c r="AD30" s="144"/>
      <c r="AE30" s="144"/>
      <c r="AF30" s="144"/>
      <c r="AG30" s="144" t="s">
        <v>98</v>
      </c>
      <c r="AH30" s="144">
        <v>0</v>
      </c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</row>
    <row r="31" spans="1:33" ht="12.75">
      <c r="A31" s="153" t="s">
        <v>92</v>
      </c>
      <c r="B31" s="154" t="s">
        <v>49</v>
      </c>
      <c r="C31" s="170" t="s">
        <v>50</v>
      </c>
      <c r="D31" s="155"/>
      <c r="E31" s="156"/>
      <c r="F31" s="157"/>
      <c r="G31" s="157">
        <f>SUMIF(AG32:AG63,"&lt;&gt;NOR",G32:G63)</f>
        <v>0</v>
      </c>
      <c r="H31" s="157"/>
      <c r="I31" s="157">
        <f>SUM(I32:I61)</f>
        <v>39169.66</v>
      </c>
      <c r="J31" s="157"/>
      <c r="K31" s="157">
        <f>SUM(K32:K61)</f>
        <v>88967.51000000001</v>
      </c>
      <c r="L31" s="157"/>
      <c r="M31" s="157">
        <f>SUM(M32:M61)</f>
        <v>0</v>
      </c>
      <c r="N31" s="157"/>
      <c r="O31" s="157">
        <f>SUM(O32:O63)</f>
        <v>2.28</v>
      </c>
      <c r="P31" s="157"/>
      <c r="Q31" s="178">
        <f>SUM(Q32:Q63)</f>
        <v>0</v>
      </c>
      <c r="R31" s="152"/>
      <c r="S31" s="152"/>
      <c r="T31" s="152"/>
      <c r="U31" s="152"/>
      <c r="V31" s="152">
        <f>SUM(V32:V61)</f>
        <v>192.5</v>
      </c>
      <c r="W31" s="152"/>
      <c r="X31" s="152"/>
      <c r="Y31" s="178"/>
      <c r="Z31" s="184"/>
      <c r="AG31" t="s">
        <v>93</v>
      </c>
    </row>
    <row r="32" spans="1:60" ht="12.75" outlineLevel="1">
      <c r="A32" s="158">
        <v>9</v>
      </c>
      <c r="B32" s="159" t="s">
        <v>106</v>
      </c>
      <c r="C32" s="171" t="s">
        <v>107</v>
      </c>
      <c r="D32" s="160" t="s">
        <v>100</v>
      </c>
      <c r="E32" s="161">
        <f>SUM(E33:E33)</f>
        <v>15.72</v>
      </c>
      <c r="F32" s="176">
        <v>0</v>
      </c>
      <c r="G32" s="162">
        <f>ROUND(E32*F32,2)</f>
        <v>0</v>
      </c>
      <c r="H32" s="162">
        <v>13.56</v>
      </c>
      <c r="I32" s="162">
        <f>ROUND(E32*H32,2)</f>
        <v>213.16</v>
      </c>
      <c r="J32" s="162">
        <v>32.94</v>
      </c>
      <c r="K32" s="162">
        <f>ROUND(E32*J32,2)</f>
        <v>517.82</v>
      </c>
      <c r="L32" s="162">
        <v>21</v>
      </c>
      <c r="M32" s="162">
        <f>G32*(1+L32/100)</f>
        <v>0</v>
      </c>
      <c r="N32" s="162">
        <v>0.0001</v>
      </c>
      <c r="O32" s="162">
        <f>ROUND(E32*N32,2)</f>
        <v>0</v>
      </c>
      <c r="P32" s="162">
        <v>0</v>
      </c>
      <c r="Q32" s="163">
        <f>ROUND(E32*P32,2)</f>
        <v>0</v>
      </c>
      <c r="R32" s="149"/>
      <c r="S32" s="149" t="s">
        <v>95</v>
      </c>
      <c r="T32" s="149" t="s">
        <v>95</v>
      </c>
      <c r="U32" s="149">
        <v>0.078</v>
      </c>
      <c r="V32" s="149">
        <f>ROUND(E32*U32,2)</f>
        <v>1.23</v>
      </c>
      <c r="W32" s="149"/>
      <c r="X32" s="149" t="s">
        <v>96</v>
      </c>
      <c r="Y32" s="183" t="s">
        <v>221</v>
      </c>
      <c r="Z32" s="183" t="s">
        <v>221</v>
      </c>
      <c r="AA32" s="144"/>
      <c r="AB32" s="144"/>
      <c r="AC32" s="144"/>
      <c r="AD32" s="144"/>
      <c r="AE32" s="144"/>
      <c r="AF32" s="144"/>
      <c r="AG32" s="144" t="s">
        <v>97</v>
      </c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</row>
    <row r="33" spans="1:60" ht="12.75" outlineLevel="1">
      <c r="A33" s="147"/>
      <c r="B33" s="148"/>
      <c r="C33" s="175" t="s">
        <v>296</v>
      </c>
      <c r="D33" s="150"/>
      <c r="E33" s="151">
        <f>1.6*2.1*2+2.5*3.6</f>
        <v>15.72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4"/>
      <c r="Z33" s="144"/>
      <c r="AA33" s="144"/>
      <c r="AB33" s="144"/>
      <c r="AC33" s="144"/>
      <c r="AD33" s="144"/>
      <c r="AE33" s="144"/>
      <c r="AF33" s="144"/>
      <c r="AG33" s="144" t="s">
        <v>98</v>
      </c>
      <c r="AH33" s="144">
        <v>0</v>
      </c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</row>
    <row r="34" spans="1:60" ht="22.5" outlineLevel="1">
      <c r="A34" s="158">
        <v>10</v>
      </c>
      <c r="B34" s="159" t="s">
        <v>169</v>
      </c>
      <c r="C34" s="171" t="s">
        <v>170</v>
      </c>
      <c r="D34" s="160" t="s">
        <v>103</v>
      </c>
      <c r="E34" s="161">
        <f>SUM(E35:E35)</f>
        <v>3.835</v>
      </c>
      <c r="F34" s="185">
        <v>0</v>
      </c>
      <c r="G34" s="162">
        <f>ROUND(E34*F34,2)</f>
        <v>0</v>
      </c>
      <c r="H34" s="162">
        <v>13.56</v>
      </c>
      <c r="I34" s="162">
        <f>ROUND(E34*H34,2)</f>
        <v>52</v>
      </c>
      <c r="J34" s="162">
        <v>32.94</v>
      </c>
      <c r="K34" s="162">
        <f>ROUND(E34*J34,2)</f>
        <v>126.32</v>
      </c>
      <c r="L34" s="162">
        <v>21</v>
      </c>
      <c r="M34" s="162">
        <f>G34*(1+L34/100)</f>
        <v>0</v>
      </c>
      <c r="N34" s="162">
        <v>0.003</v>
      </c>
      <c r="O34" s="162">
        <f>ROUND(E34*N34,2)</f>
        <v>0.01</v>
      </c>
      <c r="P34" s="162">
        <v>0</v>
      </c>
      <c r="Q34" s="163">
        <f>ROUND(E34*P34,2)</f>
        <v>0</v>
      </c>
      <c r="R34" s="149"/>
      <c r="S34" s="149" t="s">
        <v>95</v>
      </c>
      <c r="T34" s="149" t="s">
        <v>95</v>
      </c>
      <c r="U34" s="149">
        <v>0.078</v>
      </c>
      <c r="V34" s="149">
        <f>ROUND(E34*U34,2)</f>
        <v>0.3</v>
      </c>
      <c r="W34" s="149"/>
      <c r="X34" s="149" t="s">
        <v>96</v>
      </c>
      <c r="Y34" s="183" t="s">
        <v>221</v>
      </c>
      <c r="Z34" s="183" t="s">
        <v>221</v>
      </c>
      <c r="AA34" s="144"/>
      <c r="AB34" s="144"/>
      <c r="AC34" s="144"/>
      <c r="AD34" s="144"/>
      <c r="AE34" s="144"/>
      <c r="AF34" s="144"/>
      <c r="AG34" s="144" t="s">
        <v>97</v>
      </c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</row>
    <row r="35" spans="1:60" ht="12.75" outlineLevel="1">
      <c r="A35" s="147"/>
      <c r="B35" s="148"/>
      <c r="C35" s="175" t="s">
        <v>239</v>
      </c>
      <c r="D35" s="150"/>
      <c r="E35" s="151">
        <f>(2.3+1.3+2.3)*0.65</f>
        <v>3.835</v>
      </c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4"/>
      <c r="Z35" s="144"/>
      <c r="AA35" s="144"/>
      <c r="AB35" s="144"/>
      <c r="AC35" s="144"/>
      <c r="AD35" s="144"/>
      <c r="AE35" s="144"/>
      <c r="AF35" s="144"/>
      <c r="AG35" s="144" t="s">
        <v>98</v>
      </c>
      <c r="AH35" s="144">
        <v>0</v>
      </c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</row>
    <row r="36" spans="1:60" ht="12.75" customHeight="1" outlineLevel="1">
      <c r="A36" s="158">
        <v>11</v>
      </c>
      <c r="B36" s="159" t="s">
        <v>171</v>
      </c>
      <c r="C36" s="171" t="s">
        <v>172</v>
      </c>
      <c r="D36" s="160" t="s">
        <v>104</v>
      </c>
      <c r="E36" s="161">
        <f>SUM(E37:E38)</f>
        <v>10</v>
      </c>
      <c r="F36" s="185">
        <v>0</v>
      </c>
      <c r="G36" s="162">
        <f>ROUND(E36*F36,2)</f>
        <v>0</v>
      </c>
      <c r="H36" s="162">
        <v>182.57</v>
      </c>
      <c r="I36" s="162">
        <f>ROUND(E36*H36,2)</f>
        <v>1825.7</v>
      </c>
      <c r="J36" s="162">
        <v>474.43</v>
      </c>
      <c r="K36" s="162">
        <f>ROUND(E36*J36,2)</f>
        <v>4744.3</v>
      </c>
      <c r="L36" s="162">
        <v>21</v>
      </c>
      <c r="M36" s="162">
        <f>G36*(1+L36/100)</f>
        <v>0</v>
      </c>
      <c r="N36" s="162">
        <v>0.005</v>
      </c>
      <c r="O36" s="162">
        <f>ROUND(E36*N36,2)</f>
        <v>0.05</v>
      </c>
      <c r="P36" s="162">
        <v>0</v>
      </c>
      <c r="Q36" s="163">
        <f>ROUND(E36*P36,2)</f>
        <v>0</v>
      </c>
      <c r="R36" s="149"/>
      <c r="S36" s="149" t="s">
        <v>95</v>
      </c>
      <c r="T36" s="149" t="s">
        <v>95</v>
      </c>
      <c r="U36" s="149">
        <v>1.03787</v>
      </c>
      <c r="V36" s="149">
        <f>ROUND(E36*U36,2)</f>
        <v>10.38</v>
      </c>
      <c r="W36" s="149"/>
      <c r="X36" s="149" t="s">
        <v>96</v>
      </c>
      <c r="Y36" s="183" t="s">
        <v>221</v>
      </c>
      <c r="Z36" s="183" t="s">
        <v>221</v>
      </c>
      <c r="AA36" s="144"/>
      <c r="AB36" s="144"/>
      <c r="AC36" s="144"/>
      <c r="AD36" s="144"/>
      <c r="AE36" s="144"/>
      <c r="AF36" s="144"/>
      <c r="AG36" s="144" t="s">
        <v>97</v>
      </c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</row>
    <row r="37" spans="1:60" ht="12.75" outlineLevel="1">
      <c r="A37" s="147"/>
      <c r="B37" s="148"/>
      <c r="C37" s="257" t="s">
        <v>173</v>
      </c>
      <c r="D37" s="258"/>
      <c r="E37" s="258"/>
      <c r="F37" s="258"/>
      <c r="G37" s="258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4"/>
      <c r="Z37" s="144"/>
      <c r="AA37" s="144"/>
      <c r="AB37" s="144"/>
      <c r="AC37" s="144"/>
      <c r="AD37" s="144"/>
      <c r="AE37" s="144"/>
      <c r="AF37" s="144"/>
      <c r="AG37" s="144" t="s">
        <v>99</v>
      </c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</row>
    <row r="38" spans="1:60" ht="12.75" outlineLevel="1">
      <c r="A38" s="147"/>
      <c r="B38" s="148"/>
      <c r="C38" s="175" t="s">
        <v>299</v>
      </c>
      <c r="D38" s="150"/>
      <c r="E38" s="151">
        <f>10</f>
        <v>10</v>
      </c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4"/>
      <c r="Z38" s="144"/>
      <c r="AA38" s="144"/>
      <c r="AB38" s="144"/>
      <c r="AC38" s="144"/>
      <c r="AD38" s="144"/>
      <c r="AE38" s="144"/>
      <c r="AF38" s="144"/>
      <c r="AG38" s="144" t="s">
        <v>98</v>
      </c>
      <c r="AH38" s="144">
        <v>0</v>
      </c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</row>
    <row r="39" spans="1:60" ht="12.75" customHeight="1" outlineLevel="1">
      <c r="A39" s="158">
        <v>12</v>
      </c>
      <c r="B39" s="159" t="s">
        <v>240</v>
      </c>
      <c r="C39" s="171" t="s">
        <v>241</v>
      </c>
      <c r="D39" s="160" t="s">
        <v>104</v>
      </c>
      <c r="E39" s="161">
        <f>SUM(E40:E41)</f>
        <v>2</v>
      </c>
      <c r="F39" s="185">
        <v>0</v>
      </c>
      <c r="G39" s="162">
        <f>ROUND(E39*F39,2)</f>
        <v>0</v>
      </c>
      <c r="H39" s="162">
        <v>182.57</v>
      </c>
      <c r="I39" s="162">
        <f>ROUND(E39*H39,2)</f>
        <v>365.14</v>
      </c>
      <c r="J39" s="162">
        <v>474.43</v>
      </c>
      <c r="K39" s="162">
        <f>ROUND(E39*J39,2)</f>
        <v>948.86</v>
      </c>
      <c r="L39" s="162">
        <v>21</v>
      </c>
      <c r="M39" s="162">
        <f>G39*(1+L39/100)</f>
        <v>0</v>
      </c>
      <c r="N39" s="162">
        <v>0.025</v>
      </c>
      <c r="O39" s="162">
        <f>ROUND(E39*N39,2)</f>
        <v>0.05</v>
      </c>
      <c r="P39" s="162">
        <v>0</v>
      </c>
      <c r="Q39" s="163">
        <f>ROUND(E39*P39,2)</f>
        <v>0</v>
      </c>
      <c r="R39" s="149"/>
      <c r="S39" s="149" t="s">
        <v>95</v>
      </c>
      <c r="T39" s="149" t="s">
        <v>95</v>
      </c>
      <c r="U39" s="149">
        <v>1.03787</v>
      </c>
      <c r="V39" s="149">
        <f>ROUND(E39*U39,2)</f>
        <v>2.08</v>
      </c>
      <c r="W39" s="149"/>
      <c r="X39" s="149" t="s">
        <v>96</v>
      </c>
      <c r="Y39" s="183" t="s">
        <v>221</v>
      </c>
      <c r="Z39" s="183" t="s">
        <v>221</v>
      </c>
      <c r="AA39" s="144"/>
      <c r="AB39" s="144"/>
      <c r="AC39" s="144"/>
      <c r="AD39" s="144"/>
      <c r="AE39" s="144"/>
      <c r="AF39" s="144"/>
      <c r="AG39" s="144" t="s">
        <v>97</v>
      </c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</row>
    <row r="40" spans="1:60" ht="12.75" outlineLevel="1">
      <c r="A40" s="147"/>
      <c r="B40" s="148"/>
      <c r="C40" s="257" t="s">
        <v>173</v>
      </c>
      <c r="D40" s="258"/>
      <c r="E40" s="258"/>
      <c r="F40" s="258"/>
      <c r="G40" s="258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4"/>
      <c r="Z40" s="144"/>
      <c r="AA40" s="144"/>
      <c r="AB40" s="144"/>
      <c r="AC40" s="144"/>
      <c r="AD40" s="144"/>
      <c r="AE40" s="144"/>
      <c r="AF40" s="144"/>
      <c r="AG40" s="144" t="s">
        <v>99</v>
      </c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</row>
    <row r="41" spans="1:60" ht="12.75" outlineLevel="1">
      <c r="A41" s="147"/>
      <c r="B41" s="148"/>
      <c r="C41" s="175" t="s">
        <v>297</v>
      </c>
      <c r="D41" s="150"/>
      <c r="E41" s="151">
        <f>2</f>
        <v>2</v>
      </c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4"/>
      <c r="Z41" s="144"/>
      <c r="AA41" s="144"/>
      <c r="AB41" s="144"/>
      <c r="AC41" s="144"/>
      <c r="AD41" s="144"/>
      <c r="AE41" s="144"/>
      <c r="AF41" s="144"/>
      <c r="AG41" s="144" t="s">
        <v>98</v>
      </c>
      <c r="AH41" s="144">
        <v>0</v>
      </c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</row>
    <row r="42" spans="1:60" ht="12.75" customHeight="1" outlineLevel="1">
      <c r="A42" s="158">
        <v>13</v>
      </c>
      <c r="B42" s="159" t="s">
        <v>167</v>
      </c>
      <c r="C42" s="171" t="s">
        <v>168</v>
      </c>
      <c r="D42" s="160" t="s">
        <v>100</v>
      </c>
      <c r="E42" s="161">
        <f>SUM(E45:E47)</f>
        <v>77.52</v>
      </c>
      <c r="F42" s="185">
        <v>0</v>
      </c>
      <c r="G42" s="162">
        <f>ROUND(E42*F42,2)</f>
        <v>0</v>
      </c>
      <c r="H42" s="162">
        <v>182.57</v>
      </c>
      <c r="I42" s="162">
        <f>ROUND(E42*H42,2)</f>
        <v>14152.83</v>
      </c>
      <c r="J42" s="162">
        <v>474.43</v>
      </c>
      <c r="K42" s="162">
        <f>ROUND(E42*J42,2)</f>
        <v>36777.81</v>
      </c>
      <c r="L42" s="162">
        <v>21</v>
      </c>
      <c r="M42" s="162">
        <f>G42*(1+L42/100)</f>
        <v>0</v>
      </c>
      <c r="N42" s="162">
        <v>0.001</v>
      </c>
      <c r="O42" s="162">
        <f>ROUND(E42*N42,2)</f>
        <v>0.08</v>
      </c>
      <c r="P42" s="162">
        <v>0</v>
      </c>
      <c r="Q42" s="163">
        <f>ROUND(E42*P42,2)</f>
        <v>0</v>
      </c>
      <c r="R42" s="149"/>
      <c r="S42" s="149" t="s">
        <v>95</v>
      </c>
      <c r="T42" s="149" t="s">
        <v>95</v>
      </c>
      <c r="U42" s="149">
        <v>1.03787</v>
      </c>
      <c r="V42" s="149">
        <f>ROUND(E42*U42,2)</f>
        <v>80.46</v>
      </c>
      <c r="W42" s="149"/>
      <c r="X42" s="149" t="s">
        <v>96</v>
      </c>
      <c r="Y42" s="183" t="s">
        <v>221</v>
      </c>
      <c r="Z42" s="183" t="s">
        <v>221</v>
      </c>
      <c r="AA42" s="144"/>
      <c r="AB42" s="144"/>
      <c r="AC42" s="144"/>
      <c r="AD42" s="144"/>
      <c r="AE42" s="144"/>
      <c r="AF42" s="144"/>
      <c r="AG42" s="144" t="s">
        <v>97</v>
      </c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</row>
    <row r="43" spans="1:60" ht="12.75" outlineLevel="1">
      <c r="A43" s="147"/>
      <c r="B43" s="148"/>
      <c r="C43" s="257" t="s">
        <v>108</v>
      </c>
      <c r="D43" s="258"/>
      <c r="E43" s="258"/>
      <c r="F43" s="258"/>
      <c r="G43" s="258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4"/>
      <c r="Z43" s="144"/>
      <c r="AA43" s="144"/>
      <c r="AB43" s="144"/>
      <c r="AC43" s="144"/>
      <c r="AD43" s="144"/>
      <c r="AE43" s="144"/>
      <c r="AF43" s="144"/>
      <c r="AG43" s="144" t="s">
        <v>99</v>
      </c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</row>
    <row r="44" spans="1:60" ht="12.75" outlineLevel="1">
      <c r="A44" s="147"/>
      <c r="B44" s="148"/>
      <c r="C44" s="175" t="s">
        <v>246</v>
      </c>
      <c r="D44" s="150"/>
      <c r="E44" s="151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4"/>
      <c r="Z44" s="144"/>
      <c r="AA44" s="144"/>
      <c r="AB44" s="144"/>
      <c r="AC44" s="144"/>
      <c r="AD44" s="144"/>
      <c r="AE44" s="144"/>
      <c r="AF44" s="144"/>
      <c r="AG44" s="144" t="s">
        <v>98</v>
      </c>
      <c r="AH44" s="144">
        <v>0</v>
      </c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</row>
    <row r="45" spans="1:60" ht="12.75" outlineLevel="1">
      <c r="A45" s="147"/>
      <c r="B45" s="148"/>
      <c r="C45" s="175" t="s">
        <v>327</v>
      </c>
      <c r="D45" s="150"/>
      <c r="E45" s="151">
        <f>10*0.3*2+2</f>
        <v>8</v>
      </c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4"/>
      <c r="Z45" s="144"/>
      <c r="AA45" s="144"/>
      <c r="AB45" s="144"/>
      <c r="AC45" s="144"/>
      <c r="AD45" s="144"/>
      <c r="AE45" s="144"/>
      <c r="AF45" s="144"/>
      <c r="AG45" s="144" t="s">
        <v>98</v>
      </c>
      <c r="AH45" s="144">
        <v>0</v>
      </c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</row>
    <row r="46" spans="1:60" ht="12.75" outlineLevel="1">
      <c r="A46" s="147"/>
      <c r="B46" s="148"/>
      <c r="C46" s="175" t="s">
        <v>300</v>
      </c>
      <c r="D46" s="150"/>
      <c r="E46" s="151">
        <f>(2.3+1.2+2.3)*0.8</f>
        <v>4.64</v>
      </c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4"/>
      <c r="Z46" s="144"/>
      <c r="AA46" s="144"/>
      <c r="AB46" s="144"/>
      <c r="AC46" s="144"/>
      <c r="AD46" s="144"/>
      <c r="AE46" s="144"/>
      <c r="AF46" s="144"/>
      <c r="AG46" s="144" t="s">
        <v>98</v>
      </c>
      <c r="AH46" s="144">
        <v>0</v>
      </c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</row>
    <row r="47" spans="1:60" ht="12.75" outlineLevel="1">
      <c r="A47" s="147"/>
      <c r="B47" s="148"/>
      <c r="C47" s="175" t="s">
        <v>298</v>
      </c>
      <c r="D47" s="150"/>
      <c r="E47" s="151">
        <f>(3.6*3.6+6.3*3.6-1.6*2)*2</f>
        <v>64.88</v>
      </c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4"/>
      <c r="Z47" s="144"/>
      <c r="AA47" s="144"/>
      <c r="AB47" s="144"/>
      <c r="AC47" s="144"/>
      <c r="AD47" s="144"/>
      <c r="AE47" s="144"/>
      <c r="AF47" s="144"/>
      <c r="AG47" s="144" t="s">
        <v>98</v>
      </c>
      <c r="AH47" s="144">
        <v>0</v>
      </c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</row>
    <row r="48" spans="1:60" ht="22.5" outlineLevel="1">
      <c r="A48" s="158">
        <v>14</v>
      </c>
      <c r="B48" s="159" t="s">
        <v>125</v>
      </c>
      <c r="C48" s="171" t="s">
        <v>128</v>
      </c>
      <c r="D48" s="160" t="s">
        <v>100</v>
      </c>
      <c r="E48" s="161">
        <f>SUM(E49:E50)</f>
        <v>4.64</v>
      </c>
      <c r="F48" s="176">
        <v>0</v>
      </c>
      <c r="G48" s="162">
        <f>ROUND(E48*F48,2)</f>
        <v>0</v>
      </c>
      <c r="H48" s="162">
        <v>182.57</v>
      </c>
      <c r="I48" s="162">
        <f>ROUND(E48*H48,2)</f>
        <v>847.12</v>
      </c>
      <c r="J48" s="162">
        <v>474.43</v>
      </c>
      <c r="K48" s="162">
        <f>ROUND(E48*J48,2)</f>
        <v>2201.36</v>
      </c>
      <c r="L48" s="162">
        <v>21</v>
      </c>
      <c r="M48" s="162">
        <f>G48*(1+L48/100)</f>
        <v>0</v>
      </c>
      <c r="N48" s="162">
        <v>0.025</v>
      </c>
      <c r="O48" s="162">
        <f>ROUND(E48*N48,2)</f>
        <v>0.12</v>
      </c>
      <c r="P48" s="162">
        <v>0</v>
      </c>
      <c r="Q48" s="163">
        <f>ROUND(E48*P48,2)</f>
        <v>0</v>
      </c>
      <c r="R48" s="149"/>
      <c r="S48" s="149" t="s">
        <v>95</v>
      </c>
      <c r="T48" s="149" t="s">
        <v>95</v>
      </c>
      <c r="U48" s="149">
        <v>1.03787</v>
      </c>
      <c r="V48" s="149">
        <f>ROUND(E48*U48,2)</f>
        <v>4.82</v>
      </c>
      <c r="W48" s="149"/>
      <c r="X48" s="149" t="s">
        <v>96</v>
      </c>
      <c r="Y48" s="183" t="s">
        <v>221</v>
      </c>
      <c r="Z48" s="183" t="s">
        <v>221</v>
      </c>
      <c r="AA48" s="144"/>
      <c r="AB48" s="144"/>
      <c r="AC48" s="144"/>
      <c r="AD48" s="144"/>
      <c r="AE48" s="144"/>
      <c r="AF48" s="144"/>
      <c r="AG48" s="144" t="s">
        <v>97</v>
      </c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</row>
    <row r="49" spans="1:60" ht="12.75" outlineLevel="1">
      <c r="A49" s="147"/>
      <c r="B49" s="148"/>
      <c r="C49" s="257" t="s">
        <v>108</v>
      </c>
      <c r="D49" s="258"/>
      <c r="E49" s="258"/>
      <c r="F49" s="258"/>
      <c r="G49" s="258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4"/>
      <c r="Z49" s="144"/>
      <c r="AA49" s="144"/>
      <c r="AB49" s="144"/>
      <c r="AC49" s="144"/>
      <c r="AD49" s="144"/>
      <c r="AE49" s="144"/>
      <c r="AF49" s="144"/>
      <c r="AG49" s="144" t="s">
        <v>99</v>
      </c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</row>
    <row r="50" spans="1:60" ht="12.75" outlineLevel="1">
      <c r="A50" s="147"/>
      <c r="B50" s="148"/>
      <c r="C50" s="175" t="s">
        <v>300</v>
      </c>
      <c r="D50" s="150"/>
      <c r="E50" s="151">
        <f>(2.3+1.2+2.3)*0.8</f>
        <v>4.64</v>
      </c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4"/>
      <c r="Z50" s="144"/>
      <c r="AA50" s="144"/>
      <c r="AB50" s="144"/>
      <c r="AC50" s="144"/>
      <c r="AD50" s="144"/>
      <c r="AE50" s="144"/>
      <c r="AF50" s="144"/>
      <c r="AG50" s="144" t="s">
        <v>98</v>
      </c>
      <c r="AH50" s="144">
        <v>0</v>
      </c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</row>
    <row r="51" spans="1:60" ht="22.5" outlineLevel="1">
      <c r="A51" s="158">
        <v>15</v>
      </c>
      <c r="B51" s="159" t="s">
        <v>242</v>
      </c>
      <c r="C51" s="171" t="s">
        <v>243</v>
      </c>
      <c r="D51" s="160" t="s">
        <v>100</v>
      </c>
      <c r="E51" s="161">
        <f>SUM(E52:E54)</f>
        <v>64.88</v>
      </c>
      <c r="F51" s="185">
        <v>0</v>
      </c>
      <c r="G51" s="162">
        <f>ROUND(E51*F51,2)</f>
        <v>0</v>
      </c>
      <c r="H51" s="162">
        <v>182.57</v>
      </c>
      <c r="I51" s="162">
        <f>ROUND(E51*H51,2)</f>
        <v>11845.14</v>
      </c>
      <c r="J51" s="162">
        <v>474.43</v>
      </c>
      <c r="K51" s="162">
        <f>ROUND(E51*J51,2)</f>
        <v>30781.02</v>
      </c>
      <c r="L51" s="162">
        <v>21</v>
      </c>
      <c r="M51" s="162">
        <f>G51*(1+L51/100)</f>
        <v>0</v>
      </c>
      <c r="N51" s="162">
        <v>0.026</v>
      </c>
      <c r="O51" s="162">
        <f>ROUND(E51*N51,2)</f>
        <v>1.69</v>
      </c>
      <c r="P51" s="162">
        <v>0</v>
      </c>
      <c r="Q51" s="163">
        <f>ROUND(E51*P51,2)</f>
        <v>0</v>
      </c>
      <c r="R51" s="149"/>
      <c r="S51" s="149" t="s">
        <v>95</v>
      </c>
      <c r="T51" s="149" t="s">
        <v>95</v>
      </c>
      <c r="U51" s="149">
        <v>1.03787</v>
      </c>
      <c r="V51" s="149">
        <f>ROUND(E51*U51,2)</f>
        <v>67.34</v>
      </c>
      <c r="W51" s="149"/>
      <c r="X51" s="149" t="s">
        <v>96</v>
      </c>
      <c r="Y51" s="183" t="s">
        <v>221</v>
      </c>
      <c r="Z51" s="183" t="s">
        <v>221</v>
      </c>
      <c r="AA51" s="144"/>
      <c r="AB51" s="144"/>
      <c r="AC51" s="144"/>
      <c r="AD51" s="144"/>
      <c r="AE51" s="144"/>
      <c r="AF51" s="144"/>
      <c r="AG51" s="144" t="s">
        <v>97</v>
      </c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</row>
    <row r="52" spans="1:60" ht="12.75" outlineLevel="1">
      <c r="A52" s="147"/>
      <c r="B52" s="148"/>
      <c r="C52" s="257" t="s">
        <v>108</v>
      </c>
      <c r="D52" s="258"/>
      <c r="E52" s="258"/>
      <c r="F52" s="258"/>
      <c r="G52" s="258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4"/>
      <c r="Z52" s="144"/>
      <c r="AA52" s="144"/>
      <c r="AB52" s="144"/>
      <c r="AC52" s="144"/>
      <c r="AD52" s="144"/>
      <c r="AE52" s="144"/>
      <c r="AF52" s="144"/>
      <c r="AG52" s="144" t="s">
        <v>99</v>
      </c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</row>
    <row r="53" spans="1:60" ht="12.75" outlineLevel="1">
      <c r="A53" s="147"/>
      <c r="B53" s="148"/>
      <c r="C53" s="175" t="s">
        <v>247</v>
      </c>
      <c r="D53" s="150"/>
      <c r="E53" s="151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4"/>
      <c r="Z53" s="144"/>
      <c r="AA53" s="144"/>
      <c r="AB53" s="144"/>
      <c r="AC53" s="144"/>
      <c r="AD53" s="144"/>
      <c r="AE53" s="144"/>
      <c r="AF53" s="144"/>
      <c r="AG53" s="144" t="s">
        <v>98</v>
      </c>
      <c r="AH53" s="144">
        <v>0</v>
      </c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</row>
    <row r="54" spans="1:60" ht="12.75" outlineLevel="1">
      <c r="A54" s="147"/>
      <c r="B54" s="148"/>
      <c r="C54" s="175" t="s">
        <v>298</v>
      </c>
      <c r="D54" s="150"/>
      <c r="E54" s="151">
        <f>(3.6*3.6+6.3*3.6-1.6*2)*2</f>
        <v>64.88</v>
      </c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4"/>
      <c r="Z54" s="144"/>
      <c r="AA54" s="144"/>
      <c r="AB54" s="144"/>
      <c r="AC54" s="144"/>
      <c r="AD54" s="144"/>
      <c r="AE54" s="144"/>
      <c r="AF54" s="144"/>
      <c r="AG54" s="144" t="s">
        <v>98</v>
      </c>
      <c r="AH54" s="144">
        <v>0</v>
      </c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</row>
    <row r="55" spans="1:60" ht="23.25" customHeight="1" outlineLevel="1">
      <c r="A55" s="158">
        <v>16</v>
      </c>
      <c r="B55" s="159" t="s">
        <v>244</v>
      </c>
      <c r="C55" s="171" t="s">
        <v>245</v>
      </c>
      <c r="D55" s="160" t="s">
        <v>100</v>
      </c>
      <c r="E55" s="161">
        <f>SUM(E56:E59)</f>
        <v>71.52</v>
      </c>
      <c r="F55" s="185">
        <v>0</v>
      </c>
      <c r="G55" s="162">
        <f>ROUND(E55*F55,2)</f>
        <v>0</v>
      </c>
      <c r="H55" s="162">
        <v>80.05</v>
      </c>
      <c r="I55" s="162">
        <f>ROUND(E55*H55,2)</f>
        <v>5725.18</v>
      </c>
      <c r="J55" s="162">
        <v>179.95</v>
      </c>
      <c r="K55" s="162">
        <f>ROUND(E55*J55,2)</f>
        <v>12870.02</v>
      </c>
      <c r="L55" s="162">
        <v>21</v>
      </c>
      <c r="M55" s="162">
        <f>G55*(1+L55/100)</f>
        <v>0</v>
      </c>
      <c r="N55" s="162">
        <v>0.003</v>
      </c>
      <c r="O55" s="162">
        <f>ROUND(E55*N55,2)</f>
        <v>0.21</v>
      </c>
      <c r="P55" s="162">
        <v>0</v>
      </c>
      <c r="Q55" s="163">
        <f>ROUND(E55*P55,2)</f>
        <v>0</v>
      </c>
      <c r="R55" s="149"/>
      <c r="S55" s="149" t="s">
        <v>95</v>
      </c>
      <c r="T55" s="149" t="s">
        <v>95</v>
      </c>
      <c r="U55" s="149">
        <v>0.362</v>
      </c>
      <c r="V55" s="149">
        <f>ROUND(E55*U55,2)</f>
        <v>25.89</v>
      </c>
      <c r="W55" s="149"/>
      <c r="X55" s="149" t="s">
        <v>96</v>
      </c>
      <c r="Y55" s="183" t="s">
        <v>221</v>
      </c>
      <c r="Z55" s="183" t="s">
        <v>221</v>
      </c>
      <c r="AA55" s="144"/>
      <c r="AB55" s="144"/>
      <c r="AC55" s="144"/>
      <c r="AD55" s="144"/>
      <c r="AE55" s="144"/>
      <c r="AF55" s="144"/>
      <c r="AG55" s="144" t="s">
        <v>97</v>
      </c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</row>
    <row r="56" spans="1:60" ht="12.75" outlineLevel="1">
      <c r="A56" s="147"/>
      <c r="B56" s="148"/>
      <c r="C56" s="175" t="s">
        <v>247</v>
      </c>
      <c r="D56" s="150"/>
      <c r="E56" s="151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4"/>
      <c r="Z56" s="144"/>
      <c r="AA56" s="144"/>
      <c r="AB56" s="144"/>
      <c r="AC56" s="144"/>
      <c r="AD56" s="144"/>
      <c r="AE56" s="144"/>
      <c r="AF56" s="144"/>
      <c r="AG56" s="144" t="s">
        <v>98</v>
      </c>
      <c r="AH56" s="144">
        <v>0</v>
      </c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</row>
    <row r="57" spans="1:60" ht="12.75" outlineLevel="1">
      <c r="A57" s="147"/>
      <c r="B57" s="148"/>
      <c r="C57" s="175" t="s">
        <v>328</v>
      </c>
      <c r="D57" s="150"/>
      <c r="E57" s="151">
        <f>2</f>
        <v>2</v>
      </c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4"/>
      <c r="Z57" s="144"/>
      <c r="AA57" s="144"/>
      <c r="AB57" s="144"/>
      <c r="AC57" s="144"/>
      <c r="AD57" s="144"/>
      <c r="AE57" s="144"/>
      <c r="AF57" s="144"/>
      <c r="AG57" s="144" t="s">
        <v>98</v>
      </c>
      <c r="AH57" s="144">
        <v>0</v>
      </c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</row>
    <row r="58" spans="1:60" ht="12.75" outlineLevel="1">
      <c r="A58" s="147"/>
      <c r="B58" s="148"/>
      <c r="C58" s="175" t="s">
        <v>300</v>
      </c>
      <c r="D58" s="150"/>
      <c r="E58" s="151">
        <f>(2.3+1.2+2.3)*0.8</f>
        <v>4.64</v>
      </c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4"/>
      <c r="Z58" s="144"/>
      <c r="AA58" s="144"/>
      <c r="AB58" s="144"/>
      <c r="AC58" s="144"/>
      <c r="AD58" s="144"/>
      <c r="AE58" s="144"/>
      <c r="AF58" s="144"/>
      <c r="AG58" s="144" t="s">
        <v>98</v>
      </c>
      <c r="AH58" s="144">
        <v>0</v>
      </c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</row>
    <row r="59" spans="1:60" ht="12.75" outlineLevel="1">
      <c r="A59" s="147"/>
      <c r="B59" s="148"/>
      <c r="C59" s="175" t="s">
        <v>298</v>
      </c>
      <c r="D59" s="150"/>
      <c r="E59" s="151">
        <f>(3.6*3.6+6.3*3.6-1.6*2)*2</f>
        <v>64.88</v>
      </c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4"/>
      <c r="Z59" s="144"/>
      <c r="AA59" s="144"/>
      <c r="AB59" s="144"/>
      <c r="AC59" s="144"/>
      <c r="AD59" s="144"/>
      <c r="AE59" s="144"/>
      <c r="AF59" s="144"/>
      <c r="AG59" s="144" t="s">
        <v>98</v>
      </c>
      <c r="AH59" s="144">
        <v>0</v>
      </c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</row>
    <row r="60" spans="1:60" ht="12.75" outlineLevel="1">
      <c r="A60" s="158">
        <v>17</v>
      </c>
      <c r="B60" s="159" t="s">
        <v>151</v>
      </c>
      <c r="C60" s="171" t="s">
        <v>152</v>
      </c>
      <c r="D60" s="160" t="s">
        <v>100</v>
      </c>
      <c r="E60" s="161">
        <f>SUM(E61:E63)</f>
        <v>69.52</v>
      </c>
      <c r="F60" s="185">
        <v>0</v>
      </c>
      <c r="G60" s="162">
        <f>ROUND(E60*F60,2)</f>
        <v>0</v>
      </c>
      <c r="H60" s="162">
        <v>59.6</v>
      </c>
      <c r="I60" s="162">
        <f>ROUND(E60*H60,2)</f>
        <v>4143.39</v>
      </c>
      <c r="J60" s="162">
        <v>0</v>
      </c>
      <c r="K60" s="162">
        <f>ROUND(E60*J60,2)</f>
        <v>0</v>
      </c>
      <c r="L60" s="162">
        <v>21</v>
      </c>
      <c r="M60" s="162">
        <f>G60*(1+L60/100)</f>
        <v>0</v>
      </c>
      <c r="N60" s="162">
        <v>0.001</v>
      </c>
      <c r="O60" s="162">
        <f>ROUND(E60*N60,2)</f>
        <v>0.07</v>
      </c>
      <c r="P60" s="162">
        <v>0</v>
      </c>
      <c r="Q60" s="163">
        <f>ROUND(E60*P60,2)</f>
        <v>0</v>
      </c>
      <c r="R60" s="149"/>
      <c r="S60" s="149" t="s">
        <v>95</v>
      </c>
      <c r="T60" s="149" t="s">
        <v>95</v>
      </c>
      <c r="U60" s="149">
        <v>0</v>
      </c>
      <c r="V60" s="149">
        <f>ROUND(E60*U60,2)</f>
        <v>0</v>
      </c>
      <c r="W60" s="149"/>
      <c r="X60" s="149" t="s">
        <v>96</v>
      </c>
      <c r="Y60" s="183" t="s">
        <v>221</v>
      </c>
      <c r="Z60" s="183" t="s">
        <v>221</v>
      </c>
      <c r="AA60" s="144"/>
      <c r="AB60" s="144"/>
      <c r="AC60" s="144"/>
      <c r="AD60" s="144"/>
      <c r="AE60" s="144"/>
      <c r="AF60" s="144"/>
      <c r="AG60" s="144" t="s">
        <v>97</v>
      </c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</row>
    <row r="61" spans="1:60" ht="12.75" outlineLevel="1">
      <c r="A61" s="147"/>
      <c r="B61" s="148"/>
      <c r="C61" s="175" t="s">
        <v>247</v>
      </c>
      <c r="D61" s="150"/>
      <c r="E61" s="151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4"/>
      <c r="Z61" s="144"/>
      <c r="AA61" s="144"/>
      <c r="AB61" s="144"/>
      <c r="AC61" s="144"/>
      <c r="AD61" s="144"/>
      <c r="AE61" s="144"/>
      <c r="AF61" s="144"/>
      <c r="AG61" s="144" t="s">
        <v>98</v>
      </c>
      <c r="AH61" s="144">
        <v>0</v>
      </c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</row>
    <row r="62" spans="1:60" ht="12.75" outlineLevel="1">
      <c r="A62" s="147"/>
      <c r="B62" s="148"/>
      <c r="C62" s="175" t="s">
        <v>300</v>
      </c>
      <c r="D62" s="150"/>
      <c r="E62" s="151">
        <f>(2.3+1.2+2.3)*0.8</f>
        <v>4.64</v>
      </c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4"/>
      <c r="Z62" s="144"/>
      <c r="AA62" s="144"/>
      <c r="AB62" s="144"/>
      <c r="AC62" s="144"/>
      <c r="AD62" s="144"/>
      <c r="AE62" s="144"/>
      <c r="AF62" s="144"/>
      <c r="AG62" s="144" t="s">
        <v>98</v>
      </c>
      <c r="AH62" s="144">
        <v>0</v>
      </c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</row>
    <row r="63" spans="1:60" ht="12.75" outlineLevel="1">
      <c r="A63" s="147"/>
      <c r="B63" s="148"/>
      <c r="C63" s="175" t="s">
        <v>298</v>
      </c>
      <c r="D63" s="150"/>
      <c r="E63" s="151">
        <f>(3.6*3.6+6.3*3.6-1.6*2)*2</f>
        <v>64.88</v>
      </c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4"/>
      <c r="Z63" s="144"/>
      <c r="AA63" s="144"/>
      <c r="AB63" s="144"/>
      <c r="AC63" s="144"/>
      <c r="AD63" s="144"/>
      <c r="AE63" s="144"/>
      <c r="AF63" s="144"/>
      <c r="AG63" s="144" t="s">
        <v>98</v>
      </c>
      <c r="AH63" s="144">
        <v>0</v>
      </c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</row>
    <row r="64" spans="1:33" ht="12.75">
      <c r="A64" s="153" t="s">
        <v>92</v>
      </c>
      <c r="B64" s="154" t="s">
        <v>51</v>
      </c>
      <c r="C64" s="170" t="s">
        <v>52</v>
      </c>
      <c r="D64" s="155"/>
      <c r="E64" s="156"/>
      <c r="F64" s="157"/>
      <c r="G64" s="157">
        <f>SUMIF(AG65:AG94,"&lt;&gt;NOR",G65:G94)</f>
        <v>0</v>
      </c>
      <c r="H64" s="157"/>
      <c r="I64" s="157">
        <f>SUM(I65:I94)</f>
        <v>29013.57</v>
      </c>
      <c r="J64" s="157"/>
      <c r="K64" s="157">
        <f>SUM(K65:K94)</f>
        <v>39059.130000000005</v>
      </c>
      <c r="L64" s="157"/>
      <c r="M64" s="157">
        <f>SUM(M65:M94)</f>
        <v>0</v>
      </c>
      <c r="N64" s="157"/>
      <c r="O64" s="157">
        <f>SUM(O65:O94)</f>
        <v>1.83</v>
      </c>
      <c r="P64" s="157"/>
      <c r="Q64" s="178">
        <f>SUM(Q65:Q94)</f>
        <v>0.18</v>
      </c>
      <c r="R64" s="152"/>
      <c r="S64" s="152"/>
      <c r="T64" s="152"/>
      <c r="U64" s="152"/>
      <c r="V64" s="152">
        <f>SUM(V65:V94)</f>
        <v>79.69</v>
      </c>
      <c r="W64" s="152"/>
      <c r="X64" s="152"/>
      <c r="Y64" s="178"/>
      <c r="Z64" s="184"/>
      <c r="AG64" t="s">
        <v>93</v>
      </c>
    </row>
    <row r="65" spans="1:60" ht="12" customHeight="1" outlineLevel="1">
      <c r="A65" s="158">
        <v>18</v>
      </c>
      <c r="B65" s="159" t="s">
        <v>165</v>
      </c>
      <c r="C65" s="171" t="s">
        <v>166</v>
      </c>
      <c r="D65" s="160" t="s">
        <v>100</v>
      </c>
      <c r="E65" s="161">
        <f>SUM(E66:E69)</f>
        <v>15.809999999999999</v>
      </c>
      <c r="F65" s="185">
        <v>0</v>
      </c>
      <c r="G65" s="162">
        <f>ROUND(E65*F65,2)</f>
        <v>0</v>
      </c>
      <c r="H65" s="162">
        <v>80.74</v>
      </c>
      <c r="I65" s="162">
        <f>ROUND(E65*H65,2)</f>
        <v>1276.5</v>
      </c>
      <c r="J65" s="162">
        <v>514.26</v>
      </c>
      <c r="K65" s="162">
        <f>ROUND(E65*J65,2)</f>
        <v>8130.45</v>
      </c>
      <c r="L65" s="162">
        <v>21</v>
      </c>
      <c r="M65" s="162">
        <f>G65*(1+L65/100)</f>
        <v>0</v>
      </c>
      <c r="N65" s="162">
        <v>0.0012</v>
      </c>
      <c r="O65" s="162">
        <f>ROUND(E65*N65,2)</f>
        <v>0.02</v>
      </c>
      <c r="P65" s="162">
        <v>0</v>
      </c>
      <c r="Q65" s="163">
        <f>ROUND(E65*P65,2)</f>
        <v>0</v>
      </c>
      <c r="R65" s="149"/>
      <c r="S65" s="149" t="s">
        <v>95</v>
      </c>
      <c r="T65" s="149" t="s">
        <v>95</v>
      </c>
      <c r="U65" s="149">
        <v>1.106</v>
      </c>
      <c r="V65" s="149">
        <f>ROUND(E65*U65,2)</f>
        <v>17.49</v>
      </c>
      <c r="W65" s="149"/>
      <c r="X65" s="149" t="s">
        <v>96</v>
      </c>
      <c r="Y65" s="183" t="s">
        <v>221</v>
      </c>
      <c r="Z65" s="183" t="s">
        <v>221</v>
      </c>
      <c r="AA65" s="144"/>
      <c r="AB65" s="144"/>
      <c r="AC65" s="144"/>
      <c r="AD65" s="144"/>
      <c r="AE65" s="144"/>
      <c r="AF65" s="144"/>
      <c r="AG65" s="144" t="s">
        <v>97</v>
      </c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</row>
    <row r="66" spans="1:60" ht="22.5" outlineLevel="1">
      <c r="A66" s="147"/>
      <c r="B66" s="148"/>
      <c r="C66" s="175" t="s">
        <v>301</v>
      </c>
      <c r="D66" s="150"/>
      <c r="E66" s="151">
        <f>1.2*1.2+1.2*4*0.1+0.9*1.9*2+(0.9+1.9)*2*0.1*2+1.2*1.6+(1.2+1.6)*2*0.1</f>
        <v>8.94</v>
      </c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4"/>
      <c r="Z66" s="144"/>
      <c r="AA66" s="144"/>
      <c r="AB66" s="144"/>
      <c r="AC66" s="144"/>
      <c r="AD66" s="144"/>
      <c r="AE66" s="144"/>
      <c r="AF66" s="144"/>
      <c r="AG66" s="144" t="s">
        <v>98</v>
      </c>
      <c r="AH66" s="144">
        <v>0</v>
      </c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</row>
    <row r="67" spans="1:60" ht="12.75" outlineLevel="1">
      <c r="A67" s="147"/>
      <c r="B67" s="148"/>
      <c r="C67" s="175" t="s">
        <v>302</v>
      </c>
      <c r="D67" s="150"/>
      <c r="E67" s="151">
        <f>1*1.2+0.3*1.2+1*0.3</f>
        <v>1.86</v>
      </c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4"/>
      <c r="Z67" s="144"/>
      <c r="AA67" s="144"/>
      <c r="AB67" s="144"/>
      <c r="AC67" s="144"/>
      <c r="AD67" s="144"/>
      <c r="AE67" s="144"/>
      <c r="AF67" s="144"/>
      <c r="AG67" s="144" t="s">
        <v>98</v>
      </c>
      <c r="AH67" s="144">
        <v>0</v>
      </c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</row>
    <row r="68" spans="1:60" ht="12.75" outlineLevel="1">
      <c r="A68" s="147"/>
      <c r="B68" s="148"/>
      <c r="C68" s="175" t="s">
        <v>303</v>
      </c>
      <c r="D68" s="150"/>
      <c r="E68" s="151">
        <f>1.2*3.4+1.2*0.4</f>
        <v>4.5600000000000005</v>
      </c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4"/>
      <c r="Z68" s="144"/>
      <c r="AA68" s="144"/>
      <c r="AB68" s="144"/>
      <c r="AC68" s="144"/>
      <c r="AD68" s="144"/>
      <c r="AE68" s="144"/>
      <c r="AF68" s="144"/>
      <c r="AG68" s="144" t="s">
        <v>98</v>
      </c>
      <c r="AH68" s="144">
        <v>0</v>
      </c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</row>
    <row r="69" spans="1:60" ht="12.75" outlineLevel="1">
      <c r="A69" s="147"/>
      <c r="B69" s="148"/>
      <c r="C69" s="175" t="s">
        <v>326</v>
      </c>
      <c r="D69" s="150"/>
      <c r="E69" s="151">
        <f>1.8*0.15+1.2*0.15</f>
        <v>0.45</v>
      </c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4"/>
      <c r="Z69" s="144"/>
      <c r="AA69" s="144"/>
      <c r="AB69" s="144"/>
      <c r="AC69" s="144"/>
      <c r="AD69" s="144"/>
      <c r="AE69" s="144"/>
      <c r="AF69" s="144"/>
      <c r="AG69" s="144" t="s">
        <v>98</v>
      </c>
      <c r="AH69" s="144">
        <v>0</v>
      </c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</row>
    <row r="70" spans="1:60" ht="12" customHeight="1" outlineLevel="1">
      <c r="A70" s="158">
        <v>19</v>
      </c>
      <c r="B70" s="159" t="s">
        <v>187</v>
      </c>
      <c r="C70" s="171" t="s">
        <v>185</v>
      </c>
      <c r="D70" s="160" t="s">
        <v>100</v>
      </c>
      <c r="E70" s="161">
        <f>SUM(E72:E74)</f>
        <v>15.36</v>
      </c>
      <c r="F70" s="185">
        <v>0</v>
      </c>
      <c r="G70" s="162">
        <f>ROUND(E70*F70,2)</f>
        <v>0</v>
      </c>
      <c r="H70" s="162">
        <v>80.74</v>
      </c>
      <c r="I70" s="162">
        <f>ROUND(E70*H70,2)</f>
        <v>1240.17</v>
      </c>
      <c r="J70" s="162">
        <v>514.26</v>
      </c>
      <c r="K70" s="162">
        <f>ROUND(E70*J70,2)</f>
        <v>7899.03</v>
      </c>
      <c r="L70" s="162">
        <v>21</v>
      </c>
      <c r="M70" s="162">
        <f>G70*(1+L70/100)</f>
        <v>0</v>
      </c>
      <c r="N70" s="162">
        <v>0.0012</v>
      </c>
      <c r="O70" s="162">
        <f>ROUND(E70*N70,2)</f>
        <v>0.02</v>
      </c>
      <c r="P70" s="162">
        <v>0</v>
      </c>
      <c r="Q70" s="163">
        <f>ROUND(E70*P70,2)</f>
        <v>0</v>
      </c>
      <c r="R70" s="149"/>
      <c r="S70" s="149" t="s">
        <v>95</v>
      </c>
      <c r="T70" s="149" t="s">
        <v>95</v>
      </c>
      <c r="U70" s="149">
        <v>1.106</v>
      </c>
      <c r="V70" s="149">
        <f>ROUND(E70*U70,2)</f>
        <v>16.99</v>
      </c>
      <c r="W70" s="149"/>
      <c r="X70" s="149" t="s">
        <v>96</v>
      </c>
      <c r="Y70" s="183" t="s">
        <v>221</v>
      </c>
      <c r="Z70" s="183" t="s">
        <v>221</v>
      </c>
      <c r="AA70" s="144"/>
      <c r="AB70" s="144"/>
      <c r="AC70" s="144"/>
      <c r="AD70" s="144"/>
      <c r="AE70" s="144"/>
      <c r="AF70" s="144"/>
      <c r="AG70" s="144" t="s">
        <v>97</v>
      </c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</row>
    <row r="71" spans="1:60" ht="12.75" outlineLevel="1">
      <c r="A71" s="147"/>
      <c r="B71" s="148"/>
      <c r="C71" s="257" t="s">
        <v>186</v>
      </c>
      <c r="D71" s="258"/>
      <c r="E71" s="258"/>
      <c r="F71" s="258"/>
      <c r="G71" s="258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4"/>
      <c r="Z71" s="144"/>
      <c r="AA71" s="144"/>
      <c r="AB71" s="144"/>
      <c r="AC71" s="144"/>
      <c r="AD71" s="144"/>
      <c r="AE71" s="144"/>
      <c r="AF71" s="144"/>
      <c r="AG71" s="144" t="s">
        <v>99</v>
      </c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</row>
    <row r="72" spans="1:60" ht="22.5" outlineLevel="1">
      <c r="A72" s="147"/>
      <c r="B72" s="148"/>
      <c r="C72" s="175" t="s">
        <v>301</v>
      </c>
      <c r="D72" s="150"/>
      <c r="E72" s="151">
        <f>1.2*1.2+1.2*4*0.1+0.9*1.9*2+(0.9+1.9)*2*0.1*2+1.2*1.6+(1.2+1.6)*2*0.1</f>
        <v>8.94</v>
      </c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4"/>
      <c r="Z72" s="144"/>
      <c r="AA72" s="144"/>
      <c r="AB72" s="144"/>
      <c r="AC72" s="144"/>
      <c r="AD72" s="144"/>
      <c r="AE72" s="144"/>
      <c r="AF72" s="144"/>
      <c r="AG72" s="144" t="s">
        <v>98</v>
      </c>
      <c r="AH72" s="144">
        <v>0</v>
      </c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</row>
    <row r="73" spans="1:60" ht="12.75" outlineLevel="1">
      <c r="A73" s="147"/>
      <c r="B73" s="148"/>
      <c r="C73" s="175" t="s">
        <v>302</v>
      </c>
      <c r="D73" s="150"/>
      <c r="E73" s="151">
        <f>1*1.2+0.3*1.2+1*0.3</f>
        <v>1.86</v>
      </c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4"/>
      <c r="Z73" s="144"/>
      <c r="AA73" s="144"/>
      <c r="AB73" s="144"/>
      <c r="AC73" s="144"/>
      <c r="AD73" s="144"/>
      <c r="AE73" s="144"/>
      <c r="AF73" s="144"/>
      <c r="AG73" s="144" t="s">
        <v>98</v>
      </c>
      <c r="AH73" s="144">
        <v>0</v>
      </c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</row>
    <row r="74" spans="1:60" ht="12.75" outlineLevel="1">
      <c r="A74" s="147"/>
      <c r="B74" s="148"/>
      <c r="C74" s="175" t="s">
        <v>303</v>
      </c>
      <c r="D74" s="150"/>
      <c r="E74" s="151">
        <f>1.2*3.4+1.2*0.4</f>
        <v>4.5600000000000005</v>
      </c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4"/>
      <c r="Z74" s="144"/>
      <c r="AA74" s="144"/>
      <c r="AB74" s="144"/>
      <c r="AC74" s="144"/>
      <c r="AD74" s="144"/>
      <c r="AE74" s="144"/>
      <c r="AF74" s="144"/>
      <c r="AG74" s="144" t="s">
        <v>98</v>
      </c>
      <c r="AH74" s="144">
        <v>0</v>
      </c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</row>
    <row r="75" spans="1:60" ht="12.75" customHeight="1" outlineLevel="1">
      <c r="A75" s="158">
        <v>20</v>
      </c>
      <c r="B75" s="159" t="s">
        <v>250</v>
      </c>
      <c r="C75" s="171" t="s">
        <v>251</v>
      </c>
      <c r="D75" s="160" t="s">
        <v>100</v>
      </c>
      <c r="E75" s="161">
        <f>SUM(E76:E76)</f>
        <v>0.33</v>
      </c>
      <c r="F75" s="185">
        <v>0</v>
      </c>
      <c r="G75" s="162">
        <f>ROUND(E75*F75,2)</f>
        <v>0</v>
      </c>
      <c r="H75" s="162">
        <v>185.3</v>
      </c>
      <c r="I75" s="162">
        <f>ROUND(E75*H75,2)</f>
        <v>61.15</v>
      </c>
      <c r="J75" s="162">
        <v>70.2</v>
      </c>
      <c r="K75" s="162">
        <f>ROUND(E75*J75,2)</f>
        <v>23.17</v>
      </c>
      <c r="L75" s="162">
        <v>21</v>
      </c>
      <c r="M75" s="162">
        <f>G75*(1+L75/100)</f>
        <v>0</v>
      </c>
      <c r="N75" s="162">
        <v>0.025</v>
      </c>
      <c r="O75" s="162">
        <f>ROUND(E75*N75,2)</f>
        <v>0.01</v>
      </c>
      <c r="P75" s="162">
        <v>0</v>
      </c>
      <c r="Q75" s="163">
        <f>ROUND(E75*P75,2)</f>
        <v>0</v>
      </c>
      <c r="R75" s="149"/>
      <c r="S75" s="149" t="s">
        <v>95</v>
      </c>
      <c r="T75" s="149" t="s">
        <v>95</v>
      </c>
      <c r="U75" s="149">
        <v>0.118</v>
      </c>
      <c r="V75" s="149">
        <f>ROUND(E75*U75,2)</f>
        <v>0.04</v>
      </c>
      <c r="W75" s="149"/>
      <c r="X75" s="149" t="s">
        <v>96</v>
      </c>
      <c r="Y75" s="183" t="s">
        <v>221</v>
      </c>
      <c r="Z75" s="183" t="s">
        <v>221</v>
      </c>
      <c r="AA75" s="144"/>
      <c r="AB75" s="144"/>
      <c r="AC75" s="144"/>
      <c r="AD75" s="144"/>
      <c r="AE75" s="144"/>
      <c r="AF75" s="144"/>
      <c r="AG75" s="144" t="s">
        <v>97</v>
      </c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</row>
    <row r="76" spans="1:60" ht="12.75" outlineLevel="1">
      <c r="A76" s="147"/>
      <c r="B76" s="148"/>
      <c r="C76" s="175" t="s">
        <v>304</v>
      </c>
      <c r="D76" s="150"/>
      <c r="E76" s="151">
        <f>2.2*0.15</f>
        <v>0.33</v>
      </c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4"/>
      <c r="Z76" s="144"/>
      <c r="AA76" s="144"/>
      <c r="AB76" s="144"/>
      <c r="AC76" s="144"/>
      <c r="AD76" s="144"/>
      <c r="AE76" s="144"/>
      <c r="AF76" s="144"/>
      <c r="AG76" s="144" t="s">
        <v>98</v>
      </c>
      <c r="AH76" s="144">
        <v>0</v>
      </c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</row>
    <row r="77" spans="1:60" ht="12.75" customHeight="1" outlineLevel="1">
      <c r="A77" s="158">
        <v>21</v>
      </c>
      <c r="B77" s="159" t="s">
        <v>252</v>
      </c>
      <c r="C77" s="171" t="s">
        <v>253</v>
      </c>
      <c r="D77" s="160" t="s">
        <v>100</v>
      </c>
      <c r="E77" s="161">
        <f>SUM(E78:E78)</f>
        <v>0.33</v>
      </c>
      <c r="F77" s="185">
        <v>0</v>
      </c>
      <c r="G77" s="162">
        <f>ROUND(E77*F77,2)</f>
        <v>0</v>
      </c>
      <c r="H77" s="162">
        <v>185.3</v>
      </c>
      <c r="I77" s="162">
        <f>ROUND(E77*H77,2)</f>
        <v>61.15</v>
      </c>
      <c r="J77" s="162">
        <v>70.2</v>
      </c>
      <c r="K77" s="162">
        <f>ROUND(E77*J77,2)</f>
        <v>23.17</v>
      </c>
      <c r="L77" s="162">
        <v>21</v>
      </c>
      <c r="M77" s="162">
        <f>G77*(1+L77/100)</f>
        <v>0</v>
      </c>
      <c r="N77" s="162">
        <v>0.005</v>
      </c>
      <c r="O77" s="162">
        <f>ROUND(E77*N77,2)</f>
        <v>0</v>
      </c>
      <c r="P77" s="162">
        <v>0</v>
      </c>
      <c r="Q77" s="163">
        <f>ROUND(E77*P77,2)</f>
        <v>0</v>
      </c>
      <c r="R77" s="149"/>
      <c r="S77" s="149" t="s">
        <v>95</v>
      </c>
      <c r="T77" s="149" t="s">
        <v>95</v>
      </c>
      <c r="U77" s="149">
        <v>0.118</v>
      </c>
      <c r="V77" s="149">
        <f>ROUND(E77*U77,2)</f>
        <v>0.04</v>
      </c>
      <c r="W77" s="149"/>
      <c r="X77" s="149" t="s">
        <v>96</v>
      </c>
      <c r="Y77" s="183" t="s">
        <v>221</v>
      </c>
      <c r="Z77" s="183" t="s">
        <v>221</v>
      </c>
      <c r="AA77" s="144"/>
      <c r="AB77" s="144"/>
      <c r="AC77" s="144"/>
      <c r="AD77" s="144"/>
      <c r="AE77" s="144"/>
      <c r="AF77" s="144"/>
      <c r="AG77" s="144" t="s">
        <v>97</v>
      </c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</row>
    <row r="78" spans="1:60" ht="12.75" outlineLevel="1">
      <c r="A78" s="147"/>
      <c r="B78" s="148"/>
      <c r="C78" s="175" t="s">
        <v>304</v>
      </c>
      <c r="D78" s="150"/>
      <c r="E78" s="151">
        <f>2.2*0.15</f>
        <v>0.33</v>
      </c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4"/>
      <c r="Z78" s="144"/>
      <c r="AA78" s="144"/>
      <c r="AB78" s="144"/>
      <c r="AC78" s="144"/>
      <c r="AD78" s="144"/>
      <c r="AE78" s="144"/>
      <c r="AF78" s="144"/>
      <c r="AG78" s="144" t="s">
        <v>98</v>
      </c>
      <c r="AH78" s="144">
        <v>0</v>
      </c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</row>
    <row r="79" spans="1:60" ht="12.75" customHeight="1" outlineLevel="1">
      <c r="A79" s="158">
        <v>22</v>
      </c>
      <c r="B79" s="159" t="s">
        <v>308</v>
      </c>
      <c r="C79" s="171" t="s">
        <v>309</v>
      </c>
      <c r="D79" s="160" t="s">
        <v>100</v>
      </c>
      <c r="E79" s="161">
        <f>SUM(E80:E80)</f>
        <v>0.77</v>
      </c>
      <c r="F79" s="185">
        <v>0</v>
      </c>
      <c r="G79" s="162">
        <f>ROUND(E79*F79,2)</f>
        <v>0</v>
      </c>
      <c r="H79" s="162">
        <v>185.3</v>
      </c>
      <c r="I79" s="162">
        <f>ROUND(E79*H79,2)</f>
        <v>142.68</v>
      </c>
      <c r="J79" s="162">
        <v>70.2</v>
      </c>
      <c r="K79" s="162">
        <f>ROUND(E79*J79,2)</f>
        <v>54.05</v>
      </c>
      <c r="L79" s="162">
        <v>21</v>
      </c>
      <c r="M79" s="162">
        <f>G79*(1+L79/100)</f>
        <v>0</v>
      </c>
      <c r="N79" s="162">
        <v>0.028</v>
      </c>
      <c r="O79" s="162">
        <f>ROUND(E79*N79,2)</f>
        <v>0.02</v>
      </c>
      <c r="P79" s="162">
        <v>0</v>
      </c>
      <c r="Q79" s="163">
        <f>ROUND(E79*P79,2)</f>
        <v>0</v>
      </c>
      <c r="R79" s="149"/>
      <c r="S79" s="149" t="s">
        <v>95</v>
      </c>
      <c r="T79" s="149" t="s">
        <v>95</v>
      </c>
      <c r="U79" s="149">
        <v>0.118</v>
      </c>
      <c r="V79" s="149">
        <f>ROUND(E79*U79,2)</f>
        <v>0.09</v>
      </c>
      <c r="W79" s="149"/>
      <c r="X79" s="149" t="s">
        <v>96</v>
      </c>
      <c r="Y79" s="183" t="s">
        <v>221</v>
      </c>
      <c r="Z79" s="183" t="s">
        <v>221</v>
      </c>
      <c r="AA79" s="144"/>
      <c r="AB79" s="144"/>
      <c r="AC79" s="144"/>
      <c r="AD79" s="144"/>
      <c r="AE79" s="144"/>
      <c r="AF79" s="144"/>
      <c r="AG79" s="144" t="s">
        <v>97</v>
      </c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</row>
    <row r="80" spans="1:60" ht="12.75" outlineLevel="1">
      <c r="A80" s="147"/>
      <c r="B80" s="148"/>
      <c r="C80" s="175" t="s">
        <v>310</v>
      </c>
      <c r="D80" s="150"/>
      <c r="E80" s="151">
        <f>(1+1.2)*0.35</f>
        <v>0.77</v>
      </c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4"/>
      <c r="Z80" s="144"/>
      <c r="AA80" s="144"/>
      <c r="AB80" s="144"/>
      <c r="AC80" s="144"/>
      <c r="AD80" s="144"/>
      <c r="AE80" s="144"/>
      <c r="AF80" s="144"/>
      <c r="AG80" s="144" t="s">
        <v>98</v>
      </c>
      <c r="AH80" s="144">
        <v>0</v>
      </c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</row>
    <row r="81" spans="1:60" ht="12.75" customHeight="1" outlineLevel="1">
      <c r="A81" s="158">
        <v>23</v>
      </c>
      <c r="B81" s="159" t="s">
        <v>311</v>
      </c>
      <c r="C81" s="171" t="s">
        <v>312</v>
      </c>
      <c r="D81" s="160" t="s">
        <v>100</v>
      </c>
      <c r="E81" s="161">
        <f>SUM(E82:E82)</f>
        <v>0.77</v>
      </c>
      <c r="F81" s="185">
        <v>0</v>
      </c>
      <c r="G81" s="162">
        <f>ROUND(E81*F81,2)</f>
        <v>0</v>
      </c>
      <c r="H81" s="162">
        <v>185.3</v>
      </c>
      <c r="I81" s="162">
        <f>ROUND(E81*H81,2)</f>
        <v>142.68</v>
      </c>
      <c r="J81" s="162">
        <v>70.2</v>
      </c>
      <c r="K81" s="162">
        <f>ROUND(E81*J81,2)</f>
        <v>54.05</v>
      </c>
      <c r="L81" s="162">
        <v>21</v>
      </c>
      <c r="M81" s="162">
        <f>G81*(1+L81/100)</f>
        <v>0</v>
      </c>
      <c r="N81" s="162">
        <v>0.006</v>
      </c>
      <c r="O81" s="162">
        <f>ROUND(E81*N81,2)</f>
        <v>0</v>
      </c>
      <c r="P81" s="162">
        <v>0</v>
      </c>
      <c r="Q81" s="163">
        <f>ROUND(E81*P81,2)</f>
        <v>0</v>
      </c>
      <c r="R81" s="149"/>
      <c r="S81" s="149" t="s">
        <v>95</v>
      </c>
      <c r="T81" s="149" t="s">
        <v>95</v>
      </c>
      <c r="U81" s="149">
        <v>0.118</v>
      </c>
      <c r="V81" s="149">
        <f>ROUND(E81*U81,2)</f>
        <v>0.09</v>
      </c>
      <c r="W81" s="149"/>
      <c r="X81" s="149" t="s">
        <v>96</v>
      </c>
      <c r="Y81" s="183" t="s">
        <v>221</v>
      </c>
      <c r="Z81" s="183" t="s">
        <v>221</v>
      </c>
      <c r="AA81" s="144"/>
      <c r="AB81" s="144"/>
      <c r="AC81" s="144"/>
      <c r="AD81" s="144"/>
      <c r="AE81" s="144"/>
      <c r="AF81" s="144"/>
      <c r="AG81" s="144" t="s">
        <v>97</v>
      </c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</row>
    <row r="82" spans="1:60" ht="12.75" outlineLevel="1">
      <c r="A82" s="147"/>
      <c r="B82" s="148"/>
      <c r="C82" s="175" t="s">
        <v>310</v>
      </c>
      <c r="D82" s="150"/>
      <c r="E82" s="151">
        <f>(1+1.2)*0.35</f>
        <v>0.77</v>
      </c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4"/>
      <c r="Z82" s="144"/>
      <c r="AA82" s="144"/>
      <c r="AB82" s="144"/>
      <c r="AC82" s="144"/>
      <c r="AD82" s="144"/>
      <c r="AE82" s="144"/>
      <c r="AF82" s="144"/>
      <c r="AG82" s="144" t="s">
        <v>98</v>
      </c>
      <c r="AH82" s="144">
        <v>0</v>
      </c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</row>
    <row r="83" spans="1:60" ht="12.75" customHeight="1" outlineLevel="1">
      <c r="A83" s="158">
        <v>24</v>
      </c>
      <c r="B83" s="159" t="s">
        <v>305</v>
      </c>
      <c r="C83" s="171" t="s">
        <v>306</v>
      </c>
      <c r="D83" s="160" t="s">
        <v>94</v>
      </c>
      <c r="E83" s="161">
        <f>SUM(E84:E84)</f>
        <v>0.297</v>
      </c>
      <c r="F83" s="185">
        <v>0</v>
      </c>
      <c r="G83" s="162">
        <f>ROUND(E83*F83,2)</f>
        <v>0</v>
      </c>
      <c r="H83" s="162">
        <v>185.3</v>
      </c>
      <c r="I83" s="162">
        <f>ROUND(E83*H83,2)</f>
        <v>55.03</v>
      </c>
      <c r="J83" s="162">
        <v>70.2</v>
      </c>
      <c r="K83" s="162">
        <f>ROUND(E83*J83,2)</f>
        <v>20.85</v>
      </c>
      <c r="L83" s="162">
        <v>21</v>
      </c>
      <c r="M83" s="162">
        <f>G83*(1+L83/100)</f>
        <v>0</v>
      </c>
      <c r="N83" s="162">
        <v>2.45</v>
      </c>
      <c r="O83" s="162">
        <f>ROUND(E83*N83,2)</f>
        <v>0.73</v>
      </c>
      <c r="P83" s="162">
        <v>0</v>
      </c>
      <c r="Q83" s="163">
        <f>ROUND(E83*P83,2)</f>
        <v>0</v>
      </c>
      <c r="R83" s="149"/>
      <c r="S83" s="149" t="s">
        <v>95</v>
      </c>
      <c r="T83" s="149" t="s">
        <v>95</v>
      </c>
      <c r="U83" s="149">
        <v>0.118</v>
      </c>
      <c r="V83" s="149">
        <f>ROUND(E83*U83,2)</f>
        <v>0.04</v>
      </c>
      <c r="W83" s="149"/>
      <c r="X83" s="149" t="s">
        <v>96</v>
      </c>
      <c r="Y83" s="183" t="s">
        <v>221</v>
      </c>
      <c r="Z83" s="183" t="s">
        <v>221</v>
      </c>
      <c r="AA83" s="144"/>
      <c r="AB83" s="144"/>
      <c r="AC83" s="144"/>
      <c r="AD83" s="144"/>
      <c r="AE83" s="144"/>
      <c r="AF83" s="144"/>
      <c r="AG83" s="144" t="s">
        <v>97</v>
      </c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144"/>
      <c r="BB83" s="144"/>
      <c r="BC83" s="144"/>
      <c r="BD83" s="144"/>
      <c r="BE83" s="144"/>
      <c r="BF83" s="144"/>
      <c r="BG83" s="144"/>
      <c r="BH83" s="144"/>
    </row>
    <row r="84" spans="1:60" ht="12.75" outlineLevel="1">
      <c r="A84" s="147"/>
      <c r="B84" s="148"/>
      <c r="C84" s="175" t="s">
        <v>307</v>
      </c>
      <c r="D84" s="150"/>
      <c r="E84" s="151">
        <f>1*1.2*0.15+0.65*1.2*0.15</f>
        <v>0.297</v>
      </c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4"/>
      <c r="Z84" s="144"/>
      <c r="AA84" s="144"/>
      <c r="AB84" s="144"/>
      <c r="AC84" s="144"/>
      <c r="AD84" s="144"/>
      <c r="AE84" s="144"/>
      <c r="AF84" s="144"/>
      <c r="AG84" s="144" t="s">
        <v>98</v>
      </c>
      <c r="AH84" s="144">
        <v>0</v>
      </c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</row>
    <row r="85" spans="1:60" ht="12.75" customHeight="1" outlineLevel="1">
      <c r="A85" s="158">
        <v>25</v>
      </c>
      <c r="B85" s="159" t="s">
        <v>341</v>
      </c>
      <c r="C85" s="171" t="s">
        <v>342</v>
      </c>
      <c r="D85" s="160" t="s">
        <v>94</v>
      </c>
      <c r="E85" s="161">
        <f>SUM(E86:E86)</f>
        <v>122.2</v>
      </c>
      <c r="F85" s="185">
        <v>0</v>
      </c>
      <c r="G85" s="162">
        <f>ROUND(E85*F85,2)</f>
        <v>0</v>
      </c>
      <c r="H85" s="162">
        <v>185.3</v>
      </c>
      <c r="I85" s="162">
        <f>ROUND(E85*H85,2)</f>
        <v>22643.66</v>
      </c>
      <c r="J85" s="162">
        <v>70.2</v>
      </c>
      <c r="K85" s="162">
        <f>ROUND(E85*J85,2)</f>
        <v>8578.44</v>
      </c>
      <c r="L85" s="162">
        <v>21</v>
      </c>
      <c r="M85" s="162">
        <f>G85*(1+L85/100)</f>
        <v>0</v>
      </c>
      <c r="N85" s="162">
        <v>0</v>
      </c>
      <c r="O85" s="162">
        <f>ROUND(E85*N85,2)</f>
        <v>0</v>
      </c>
      <c r="P85" s="162">
        <v>0.0015</v>
      </c>
      <c r="Q85" s="163">
        <f>ROUND(E85*P85,2)</f>
        <v>0.18</v>
      </c>
      <c r="R85" s="149"/>
      <c r="S85" s="149" t="s">
        <v>95</v>
      </c>
      <c r="T85" s="149" t="s">
        <v>95</v>
      </c>
      <c r="U85" s="149">
        <v>0.118</v>
      </c>
      <c r="V85" s="149">
        <f>ROUND(E85*U85,2)</f>
        <v>14.42</v>
      </c>
      <c r="W85" s="149"/>
      <c r="X85" s="149" t="s">
        <v>96</v>
      </c>
      <c r="Y85" s="183" t="s">
        <v>221</v>
      </c>
      <c r="Z85" s="183" t="s">
        <v>221</v>
      </c>
      <c r="AA85" s="144"/>
      <c r="AB85" s="144"/>
      <c r="AC85" s="144"/>
      <c r="AD85" s="144"/>
      <c r="AE85" s="144"/>
      <c r="AF85" s="144"/>
      <c r="AG85" s="144" t="s">
        <v>97</v>
      </c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</row>
    <row r="86" spans="1:60" ht="12.75" outlineLevel="1">
      <c r="A86" s="147"/>
      <c r="B86" s="148"/>
      <c r="C86" s="175" t="s">
        <v>340</v>
      </c>
      <c r="D86" s="150"/>
      <c r="E86" s="151">
        <f>23.5+98.7</f>
        <v>122.2</v>
      </c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4"/>
      <c r="Z86" s="144"/>
      <c r="AA86" s="144"/>
      <c r="AB86" s="144"/>
      <c r="AC86" s="144"/>
      <c r="AD86" s="144"/>
      <c r="AE86" s="144"/>
      <c r="AF86" s="144"/>
      <c r="AG86" s="144" t="s">
        <v>98</v>
      </c>
      <c r="AH86" s="144">
        <v>0</v>
      </c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</row>
    <row r="87" spans="1:60" ht="12.75" customHeight="1" outlineLevel="1">
      <c r="A87" s="158">
        <v>26</v>
      </c>
      <c r="B87" s="159" t="s">
        <v>126</v>
      </c>
      <c r="C87" s="171" t="s">
        <v>127</v>
      </c>
      <c r="D87" s="160" t="s">
        <v>100</v>
      </c>
      <c r="E87" s="161">
        <f>SUM(E88:E90)</f>
        <v>6.594</v>
      </c>
      <c r="F87" s="176">
        <v>0</v>
      </c>
      <c r="G87" s="162">
        <f>ROUND(E87*F87,2)</f>
        <v>0</v>
      </c>
      <c r="H87" s="162">
        <v>185.3</v>
      </c>
      <c r="I87" s="162">
        <f>ROUND(E87*H87,2)</f>
        <v>1221.87</v>
      </c>
      <c r="J87" s="162">
        <v>70.2</v>
      </c>
      <c r="K87" s="162">
        <f>ROUND(E87*J87,2)</f>
        <v>462.9</v>
      </c>
      <c r="L87" s="162">
        <v>21</v>
      </c>
      <c r="M87" s="162">
        <f>G87*(1+L87/100)</f>
        <v>0</v>
      </c>
      <c r="N87" s="162">
        <v>0.12</v>
      </c>
      <c r="O87" s="162">
        <f>ROUND(E87*N87,2)</f>
        <v>0.79</v>
      </c>
      <c r="P87" s="162">
        <v>0</v>
      </c>
      <c r="Q87" s="163">
        <f>ROUND(E87*P87,2)</f>
        <v>0</v>
      </c>
      <c r="R87" s="149"/>
      <c r="S87" s="149" t="s">
        <v>95</v>
      </c>
      <c r="T87" s="149" t="s">
        <v>95</v>
      </c>
      <c r="U87" s="149">
        <v>0.118</v>
      </c>
      <c r="V87" s="149">
        <f>ROUND(E87*U87,2)</f>
        <v>0.78</v>
      </c>
      <c r="W87" s="149"/>
      <c r="X87" s="149" t="s">
        <v>96</v>
      </c>
      <c r="Y87" s="183" t="s">
        <v>221</v>
      </c>
      <c r="Z87" s="183" t="s">
        <v>221</v>
      </c>
      <c r="AA87" s="144"/>
      <c r="AB87" s="144"/>
      <c r="AC87" s="144"/>
      <c r="AD87" s="144"/>
      <c r="AE87" s="144"/>
      <c r="AF87" s="144"/>
      <c r="AG87" s="144" t="s">
        <v>97</v>
      </c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144"/>
      <c r="BE87" s="144"/>
      <c r="BF87" s="144"/>
      <c r="BG87" s="144"/>
      <c r="BH87" s="144"/>
    </row>
    <row r="88" spans="1:60" ht="12.75" outlineLevel="1">
      <c r="A88" s="147"/>
      <c r="B88" s="148"/>
      <c r="C88" s="175" t="s">
        <v>313</v>
      </c>
      <c r="D88" s="150"/>
      <c r="E88" s="151">
        <f>0.6*1.2*2*1.1</f>
        <v>1.584</v>
      </c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4"/>
      <c r="Z88" s="144"/>
      <c r="AA88" s="144"/>
      <c r="AB88" s="144"/>
      <c r="AC88" s="144"/>
      <c r="AD88" s="144"/>
      <c r="AE88" s="144"/>
      <c r="AF88" s="144"/>
      <c r="AG88" s="144" t="s">
        <v>98</v>
      </c>
      <c r="AH88" s="144">
        <v>0</v>
      </c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144"/>
      <c r="AV88" s="144"/>
      <c r="AW88" s="144"/>
      <c r="AX88" s="144"/>
      <c r="AY88" s="144"/>
      <c r="AZ88" s="144"/>
      <c r="BA88" s="144"/>
      <c r="BB88" s="144"/>
      <c r="BC88" s="144"/>
      <c r="BD88" s="144"/>
      <c r="BE88" s="144"/>
      <c r="BF88" s="144"/>
      <c r="BG88" s="144"/>
      <c r="BH88" s="144"/>
    </row>
    <row r="89" spans="1:60" ht="12.75" outlineLevel="1">
      <c r="A89" s="147"/>
      <c r="B89" s="148"/>
      <c r="C89" s="175" t="s">
        <v>303</v>
      </c>
      <c r="D89" s="150"/>
      <c r="E89" s="151">
        <f>1.2*3.4+1.2*0.4</f>
        <v>4.5600000000000005</v>
      </c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4"/>
      <c r="Z89" s="144"/>
      <c r="AA89" s="144"/>
      <c r="AB89" s="144"/>
      <c r="AC89" s="144"/>
      <c r="AD89" s="144"/>
      <c r="AE89" s="144"/>
      <c r="AF89" s="144"/>
      <c r="AG89" s="144" t="s">
        <v>98</v>
      </c>
      <c r="AH89" s="144">
        <v>0</v>
      </c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4"/>
      <c r="AT89" s="144"/>
      <c r="AU89" s="144"/>
      <c r="AV89" s="144"/>
      <c r="AW89" s="144"/>
      <c r="AX89" s="144"/>
      <c r="AY89" s="144"/>
      <c r="AZ89" s="144"/>
      <c r="BA89" s="144"/>
      <c r="BB89" s="144"/>
      <c r="BC89" s="144"/>
      <c r="BD89" s="144"/>
      <c r="BE89" s="144"/>
      <c r="BF89" s="144"/>
      <c r="BG89" s="144"/>
      <c r="BH89" s="144"/>
    </row>
    <row r="90" spans="1:60" ht="12.75" outlineLevel="1">
      <c r="A90" s="147"/>
      <c r="B90" s="148"/>
      <c r="C90" s="175" t="s">
        <v>326</v>
      </c>
      <c r="D90" s="150"/>
      <c r="E90" s="151">
        <f>1.8*0.15+1.2*0.15</f>
        <v>0.45</v>
      </c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4"/>
      <c r="Z90" s="144"/>
      <c r="AA90" s="144"/>
      <c r="AB90" s="144"/>
      <c r="AC90" s="144"/>
      <c r="AD90" s="144"/>
      <c r="AE90" s="144"/>
      <c r="AF90" s="144"/>
      <c r="AG90" s="144" t="s">
        <v>98</v>
      </c>
      <c r="AH90" s="144">
        <v>0</v>
      </c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</row>
    <row r="91" spans="1:60" ht="34.5" customHeight="1" outlineLevel="1">
      <c r="A91" s="158">
        <v>27</v>
      </c>
      <c r="B91" s="159" t="s">
        <v>314</v>
      </c>
      <c r="C91" s="171" t="s">
        <v>315</v>
      </c>
      <c r="D91" s="160" t="s">
        <v>100</v>
      </c>
      <c r="E91" s="161">
        <f>SUM(E92:E94)</f>
        <v>26.86</v>
      </c>
      <c r="F91" s="176">
        <v>0</v>
      </c>
      <c r="G91" s="162">
        <f>ROUND(E91*F91,2)</f>
        <v>0</v>
      </c>
      <c r="H91" s="162">
        <v>80.74</v>
      </c>
      <c r="I91" s="162">
        <f>ROUND(E91*H91,2)</f>
        <v>2168.68</v>
      </c>
      <c r="J91" s="162">
        <v>514.26</v>
      </c>
      <c r="K91" s="162">
        <f>ROUND(E91*J91,2)</f>
        <v>13813.02</v>
      </c>
      <c r="L91" s="162">
        <v>21</v>
      </c>
      <c r="M91" s="162">
        <f>G91*(1+L91/100)</f>
        <v>0</v>
      </c>
      <c r="N91" s="162">
        <v>0.009</v>
      </c>
      <c r="O91" s="162">
        <f>ROUND(E91*N91,2)</f>
        <v>0.24</v>
      </c>
      <c r="P91" s="162">
        <v>0</v>
      </c>
      <c r="Q91" s="163">
        <f>ROUND(E91*P91,2)</f>
        <v>0</v>
      </c>
      <c r="R91" s="149"/>
      <c r="S91" s="149" t="s">
        <v>95</v>
      </c>
      <c r="T91" s="149" t="s">
        <v>95</v>
      </c>
      <c r="U91" s="149">
        <v>1.106</v>
      </c>
      <c r="V91" s="149">
        <f>ROUND(E91*U91,2)</f>
        <v>29.71</v>
      </c>
      <c r="W91" s="149"/>
      <c r="X91" s="149" t="s">
        <v>96</v>
      </c>
      <c r="Y91" s="183" t="s">
        <v>221</v>
      </c>
      <c r="Z91" s="183" t="s">
        <v>221</v>
      </c>
      <c r="AA91" s="144"/>
      <c r="AB91" s="144"/>
      <c r="AC91" s="144"/>
      <c r="AD91" s="144"/>
      <c r="AE91" s="144"/>
      <c r="AF91" s="144"/>
      <c r="AG91" s="144" t="s">
        <v>97</v>
      </c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</row>
    <row r="92" spans="1:60" ht="22.5" outlineLevel="1">
      <c r="A92" s="147"/>
      <c r="B92" s="148"/>
      <c r="C92" s="175" t="s">
        <v>301</v>
      </c>
      <c r="D92" s="150"/>
      <c r="E92" s="151">
        <f>1.2*1.2+1.2*4*0.1+0.9*1.9*2+(0.9+1.9)*2*0.1*2+1.2*1.6+(1.2+1.6)*2*0.1</f>
        <v>8.94</v>
      </c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4"/>
      <c r="Z92" s="144"/>
      <c r="AA92" s="144"/>
      <c r="AB92" s="144"/>
      <c r="AC92" s="144"/>
      <c r="AD92" s="144"/>
      <c r="AE92" s="144"/>
      <c r="AF92" s="144"/>
      <c r="AG92" s="144" t="s">
        <v>98</v>
      </c>
      <c r="AH92" s="144">
        <v>0</v>
      </c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</row>
    <row r="93" spans="1:60" ht="12.75" outlineLevel="1">
      <c r="A93" s="147"/>
      <c r="B93" s="148"/>
      <c r="C93" s="175" t="s">
        <v>302</v>
      </c>
      <c r="D93" s="150"/>
      <c r="E93" s="151">
        <f>1*1.2+0.3*1.2+1*0.3</f>
        <v>1.86</v>
      </c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4"/>
      <c r="Z93" s="144"/>
      <c r="AA93" s="144"/>
      <c r="AB93" s="144"/>
      <c r="AC93" s="144"/>
      <c r="AD93" s="144"/>
      <c r="AE93" s="144"/>
      <c r="AF93" s="144"/>
      <c r="AG93" s="144" t="s">
        <v>98</v>
      </c>
      <c r="AH93" s="144">
        <v>0</v>
      </c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144"/>
      <c r="BH93" s="144"/>
    </row>
    <row r="94" spans="1:60" ht="12.75" outlineLevel="1">
      <c r="A94" s="147"/>
      <c r="B94" s="148"/>
      <c r="C94" s="175" t="s">
        <v>372</v>
      </c>
      <c r="D94" s="150"/>
      <c r="E94" s="151">
        <f>1.2*3.4+1.2*0.4+5*1.5+4</f>
        <v>16.060000000000002</v>
      </c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4"/>
      <c r="Z94" s="144"/>
      <c r="AA94" s="144"/>
      <c r="AB94" s="144"/>
      <c r="AC94" s="144"/>
      <c r="AD94" s="144"/>
      <c r="AE94" s="144"/>
      <c r="AF94" s="144"/>
      <c r="AG94" s="144" t="s">
        <v>98</v>
      </c>
      <c r="AH94" s="144">
        <v>0</v>
      </c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4"/>
      <c r="AT94" s="144"/>
      <c r="AU94" s="144"/>
      <c r="AV94" s="144"/>
      <c r="AW94" s="144"/>
      <c r="AX94" s="144"/>
      <c r="AY94" s="144"/>
      <c r="AZ94" s="144"/>
      <c r="BA94" s="144"/>
      <c r="BB94" s="144"/>
      <c r="BC94" s="144"/>
      <c r="BD94" s="144"/>
      <c r="BE94" s="144"/>
      <c r="BF94" s="144"/>
      <c r="BG94" s="144"/>
      <c r="BH94" s="144"/>
    </row>
    <row r="95" spans="1:33" ht="12.75">
      <c r="A95" s="153" t="s">
        <v>92</v>
      </c>
      <c r="B95" s="154" t="s">
        <v>163</v>
      </c>
      <c r="C95" s="170" t="s">
        <v>164</v>
      </c>
      <c r="D95" s="155"/>
      <c r="E95" s="156"/>
      <c r="F95" s="157"/>
      <c r="G95" s="157">
        <f>SUMIF(AG96:AG99,"&lt;&gt;NOR",G96:G99)</f>
        <v>0</v>
      </c>
      <c r="H95" s="157"/>
      <c r="I95" s="157">
        <f>SUM(I96:I97)</f>
        <v>35.38</v>
      </c>
      <c r="J95" s="157"/>
      <c r="K95" s="157">
        <f>SUM(K96:K97)</f>
        <v>73.12</v>
      </c>
      <c r="L95" s="157"/>
      <c r="M95" s="157">
        <f>SUM(M96:M97)</f>
        <v>0</v>
      </c>
      <c r="N95" s="157"/>
      <c r="O95" s="157">
        <f>SUM(O96:O99)</f>
        <v>0.04</v>
      </c>
      <c r="P95" s="157"/>
      <c r="Q95" s="178">
        <f>SUM(Q96:Q97)</f>
        <v>0</v>
      </c>
      <c r="R95" s="152"/>
      <c r="S95" s="152"/>
      <c r="T95" s="152"/>
      <c r="U95" s="152"/>
      <c r="V95" s="152">
        <f>SUM(V96:V97)</f>
        <v>0.18</v>
      </c>
      <c r="W95" s="152"/>
      <c r="X95" s="152"/>
      <c r="Y95" s="178"/>
      <c r="Z95" s="184"/>
      <c r="AG95" t="s">
        <v>93</v>
      </c>
    </row>
    <row r="96" spans="1:60" ht="13.5" customHeight="1" outlineLevel="1">
      <c r="A96" s="158">
        <v>28</v>
      </c>
      <c r="B96" s="159" t="s">
        <v>321</v>
      </c>
      <c r="C96" s="171" t="s">
        <v>320</v>
      </c>
      <c r="D96" s="160" t="s">
        <v>104</v>
      </c>
      <c r="E96" s="161">
        <f>SUM(E97:E97)</f>
        <v>1</v>
      </c>
      <c r="F96" s="185">
        <v>0</v>
      </c>
      <c r="G96" s="162">
        <f>ROUND(E96*F96,2)</f>
        <v>0</v>
      </c>
      <c r="H96" s="162">
        <v>35.38</v>
      </c>
      <c r="I96" s="162">
        <f>ROUND(E96*H96,2)</f>
        <v>35.38</v>
      </c>
      <c r="J96" s="162">
        <v>73.12</v>
      </c>
      <c r="K96" s="162">
        <f>ROUND(E96*J96,2)</f>
        <v>73.12</v>
      </c>
      <c r="L96" s="162">
        <v>21</v>
      </c>
      <c r="M96" s="162">
        <f>G96*(1+L96/100)</f>
        <v>0</v>
      </c>
      <c r="N96" s="162">
        <v>0.016</v>
      </c>
      <c r="O96" s="162">
        <f>ROUND(E96*N96,2)</f>
        <v>0.02</v>
      </c>
      <c r="P96" s="162">
        <v>0</v>
      </c>
      <c r="Q96" s="163">
        <f>ROUND(E96*P96,2)</f>
        <v>0</v>
      </c>
      <c r="R96" s="149"/>
      <c r="S96" s="149" t="s">
        <v>95</v>
      </c>
      <c r="T96" s="149" t="s">
        <v>95</v>
      </c>
      <c r="U96" s="149">
        <v>0.177</v>
      </c>
      <c r="V96" s="149">
        <f>ROUND(E96*U96,2)</f>
        <v>0.18</v>
      </c>
      <c r="W96" s="149"/>
      <c r="X96" s="149" t="s">
        <v>96</v>
      </c>
      <c r="Y96" s="183" t="s">
        <v>221</v>
      </c>
      <c r="Z96" s="183" t="s">
        <v>221</v>
      </c>
      <c r="AA96" s="144"/>
      <c r="AB96" s="144"/>
      <c r="AC96" s="144"/>
      <c r="AD96" s="144"/>
      <c r="AE96" s="144"/>
      <c r="AF96" s="144"/>
      <c r="AG96" s="144" t="s">
        <v>97</v>
      </c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4"/>
    </row>
    <row r="97" spans="1:60" ht="12.75" outlineLevel="1">
      <c r="A97" s="147"/>
      <c r="B97" s="148"/>
      <c r="C97" s="175" t="s">
        <v>322</v>
      </c>
      <c r="D97" s="150"/>
      <c r="E97" s="151">
        <v>1</v>
      </c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4"/>
      <c r="Z97" s="144"/>
      <c r="AA97" s="144"/>
      <c r="AB97" s="144"/>
      <c r="AC97" s="144"/>
      <c r="AD97" s="144"/>
      <c r="AE97" s="144"/>
      <c r="AF97" s="144"/>
      <c r="AG97" s="144" t="s">
        <v>98</v>
      </c>
      <c r="AH97" s="144">
        <v>0</v>
      </c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4"/>
    </row>
    <row r="98" spans="1:60" ht="13.5" customHeight="1" outlineLevel="1">
      <c r="A98" s="158">
        <v>29</v>
      </c>
      <c r="B98" s="159" t="s">
        <v>323</v>
      </c>
      <c r="C98" s="171" t="s">
        <v>324</v>
      </c>
      <c r="D98" s="160" t="s">
        <v>104</v>
      </c>
      <c r="E98" s="161">
        <f>SUM(E99:E99)</f>
        <v>1</v>
      </c>
      <c r="F98" s="185">
        <v>0</v>
      </c>
      <c r="G98" s="162">
        <f>ROUND(E98*F98,2)</f>
        <v>0</v>
      </c>
      <c r="H98" s="162">
        <v>35.38</v>
      </c>
      <c r="I98" s="162">
        <f>ROUND(E98*H98,2)</f>
        <v>35.38</v>
      </c>
      <c r="J98" s="162">
        <v>73.12</v>
      </c>
      <c r="K98" s="162">
        <f>ROUND(E98*J98,2)</f>
        <v>73.12</v>
      </c>
      <c r="L98" s="162">
        <v>21</v>
      </c>
      <c r="M98" s="162">
        <f>G98*(1+L98/100)</f>
        <v>0</v>
      </c>
      <c r="N98" s="162">
        <v>0.016</v>
      </c>
      <c r="O98" s="162">
        <f>ROUND(E98*N98,2)</f>
        <v>0.02</v>
      </c>
      <c r="P98" s="162">
        <v>0</v>
      </c>
      <c r="Q98" s="163">
        <f>ROUND(E98*P98,2)</f>
        <v>0</v>
      </c>
      <c r="R98" s="149"/>
      <c r="S98" s="149" t="s">
        <v>95</v>
      </c>
      <c r="T98" s="149" t="s">
        <v>95</v>
      </c>
      <c r="U98" s="149">
        <v>0.177</v>
      </c>
      <c r="V98" s="149">
        <f>ROUND(E98*U98,2)</f>
        <v>0.18</v>
      </c>
      <c r="W98" s="149"/>
      <c r="X98" s="149" t="s">
        <v>96</v>
      </c>
      <c r="Y98" s="183" t="s">
        <v>221</v>
      </c>
      <c r="Z98" s="183" t="s">
        <v>221</v>
      </c>
      <c r="AA98" s="144"/>
      <c r="AB98" s="144"/>
      <c r="AC98" s="144"/>
      <c r="AD98" s="144"/>
      <c r="AE98" s="144"/>
      <c r="AF98" s="144"/>
      <c r="AG98" s="144" t="s">
        <v>97</v>
      </c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4"/>
    </row>
    <row r="99" spans="1:60" ht="12.75" outlineLevel="1">
      <c r="A99" s="147"/>
      <c r="B99" s="148"/>
      <c r="C99" s="175" t="s">
        <v>325</v>
      </c>
      <c r="D99" s="150"/>
      <c r="E99" s="151">
        <v>1</v>
      </c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4"/>
      <c r="Z99" s="144"/>
      <c r="AA99" s="144"/>
      <c r="AB99" s="144"/>
      <c r="AC99" s="144"/>
      <c r="AD99" s="144"/>
      <c r="AE99" s="144"/>
      <c r="AF99" s="144"/>
      <c r="AG99" s="144" t="s">
        <v>98</v>
      </c>
      <c r="AH99" s="144">
        <v>0</v>
      </c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4"/>
    </row>
    <row r="100" spans="1:33" ht="12.75">
      <c r="A100" s="153" t="s">
        <v>92</v>
      </c>
      <c r="B100" s="154" t="s">
        <v>53</v>
      </c>
      <c r="C100" s="170" t="s">
        <v>54</v>
      </c>
      <c r="D100" s="155"/>
      <c r="E100" s="156"/>
      <c r="F100" s="157"/>
      <c r="G100" s="157">
        <f>SUMIF(AG101:AG102,"&lt;&gt;NOR",G101:G102)</f>
        <v>0</v>
      </c>
      <c r="H100" s="157"/>
      <c r="I100" s="157">
        <f>SUM(I101:I102)</f>
        <v>4323.44</v>
      </c>
      <c r="J100" s="157"/>
      <c r="K100" s="157">
        <f>SUM(K101:K102)</f>
        <v>8935.26</v>
      </c>
      <c r="L100" s="157"/>
      <c r="M100" s="157">
        <f>SUM(M101:M102)</f>
        <v>0</v>
      </c>
      <c r="N100" s="157"/>
      <c r="O100" s="157">
        <f>SUM(O101:O102)</f>
        <v>2.2</v>
      </c>
      <c r="P100" s="157"/>
      <c r="Q100" s="178">
        <f>SUM(Q101:Q102)</f>
        <v>0</v>
      </c>
      <c r="R100" s="152"/>
      <c r="S100" s="152"/>
      <c r="T100" s="152"/>
      <c r="U100" s="152"/>
      <c r="V100" s="152">
        <f>SUM(V101:V102)</f>
        <v>21.63</v>
      </c>
      <c r="W100" s="152"/>
      <c r="X100" s="152"/>
      <c r="Y100" s="178"/>
      <c r="Z100" s="184"/>
      <c r="AG100" t="s">
        <v>93</v>
      </c>
    </row>
    <row r="101" spans="1:60" ht="12.75" outlineLevel="1">
      <c r="A101" s="158">
        <v>30</v>
      </c>
      <c r="B101" s="159" t="s">
        <v>319</v>
      </c>
      <c r="C101" s="171" t="s">
        <v>318</v>
      </c>
      <c r="D101" s="160" t="s">
        <v>100</v>
      </c>
      <c r="E101" s="161">
        <f>SUM(E102:E102)</f>
        <v>122.2</v>
      </c>
      <c r="F101" s="185">
        <v>0</v>
      </c>
      <c r="G101" s="162">
        <f>ROUND(E101*F101,2)</f>
        <v>0</v>
      </c>
      <c r="H101" s="162">
        <v>35.38</v>
      </c>
      <c r="I101" s="162">
        <f>ROUND(E101*H101,2)</f>
        <v>4323.44</v>
      </c>
      <c r="J101" s="162">
        <v>73.12</v>
      </c>
      <c r="K101" s="162">
        <f>ROUND(E101*J101,2)</f>
        <v>8935.26</v>
      </c>
      <c r="L101" s="162">
        <v>21</v>
      </c>
      <c r="M101" s="162">
        <f>G101*(1+L101/100)</f>
        <v>0</v>
      </c>
      <c r="N101" s="162">
        <v>0.018</v>
      </c>
      <c r="O101" s="162">
        <f>ROUND(E101*N101,2)</f>
        <v>2.2</v>
      </c>
      <c r="P101" s="162">
        <v>0</v>
      </c>
      <c r="Q101" s="163">
        <f>ROUND(E101*P101,2)</f>
        <v>0</v>
      </c>
      <c r="R101" s="149"/>
      <c r="S101" s="149" t="s">
        <v>95</v>
      </c>
      <c r="T101" s="149" t="s">
        <v>95</v>
      </c>
      <c r="U101" s="149">
        <v>0.177</v>
      </c>
      <c r="V101" s="149">
        <f>ROUND(E101*U101,2)</f>
        <v>21.63</v>
      </c>
      <c r="W101" s="149"/>
      <c r="X101" s="149" t="s">
        <v>96</v>
      </c>
      <c r="Y101" s="183" t="s">
        <v>221</v>
      </c>
      <c r="Z101" s="183" t="s">
        <v>221</v>
      </c>
      <c r="AA101" s="144"/>
      <c r="AB101" s="144"/>
      <c r="AC101" s="144"/>
      <c r="AD101" s="144"/>
      <c r="AE101" s="144"/>
      <c r="AF101" s="144"/>
      <c r="AG101" s="144" t="s">
        <v>97</v>
      </c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144"/>
      <c r="AV101" s="144"/>
      <c r="AW101" s="144"/>
      <c r="AX101" s="144"/>
      <c r="AY101" s="144"/>
      <c r="AZ101" s="144"/>
      <c r="BA101" s="144"/>
      <c r="BB101" s="144"/>
      <c r="BC101" s="144"/>
      <c r="BD101" s="144"/>
      <c r="BE101" s="144"/>
      <c r="BF101" s="144"/>
      <c r="BG101" s="144"/>
      <c r="BH101" s="144"/>
    </row>
    <row r="102" spans="1:60" ht="12.75" outlineLevel="1">
      <c r="A102" s="147"/>
      <c r="B102" s="148"/>
      <c r="C102" s="175" t="s">
        <v>316</v>
      </c>
      <c r="D102" s="150"/>
      <c r="E102" s="151">
        <f>23.5+98.7</f>
        <v>122.2</v>
      </c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4"/>
      <c r="Z102" s="144"/>
      <c r="AA102" s="144"/>
      <c r="AB102" s="144"/>
      <c r="AC102" s="144"/>
      <c r="AD102" s="144"/>
      <c r="AE102" s="144"/>
      <c r="AF102" s="144"/>
      <c r="AG102" s="144" t="s">
        <v>98</v>
      </c>
      <c r="AH102" s="144">
        <v>0</v>
      </c>
      <c r="AI102" s="144"/>
      <c r="AJ102" s="144"/>
      <c r="AK102" s="144"/>
      <c r="AL102" s="144"/>
      <c r="AM102" s="144"/>
      <c r="AN102" s="144"/>
      <c r="AO102" s="144"/>
      <c r="AP102" s="144"/>
      <c r="AQ102" s="144"/>
      <c r="AR102" s="144"/>
      <c r="AS102" s="144"/>
      <c r="AT102" s="144"/>
      <c r="AU102" s="144"/>
      <c r="AV102" s="144"/>
      <c r="AW102" s="144"/>
      <c r="AX102" s="144"/>
      <c r="AY102" s="144"/>
      <c r="AZ102" s="144"/>
      <c r="BA102" s="144"/>
      <c r="BB102" s="144"/>
      <c r="BC102" s="144"/>
      <c r="BD102" s="144"/>
      <c r="BE102" s="144"/>
      <c r="BF102" s="144"/>
      <c r="BG102" s="144"/>
      <c r="BH102" s="144"/>
    </row>
    <row r="103" spans="1:33" ht="25.5">
      <c r="A103" s="153" t="s">
        <v>92</v>
      </c>
      <c r="B103" s="154" t="s">
        <v>55</v>
      </c>
      <c r="C103" s="170" t="s">
        <v>56</v>
      </c>
      <c r="D103" s="155"/>
      <c r="E103" s="156"/>
      <c r="F103" s="157"/>
      <c r="G103" s="157">
        <f>SUMIF(AG104:AG114,"&lt;&gt;NOR",G104:G114)</f>
        <v>0</v>
      </c>
      <c r="H103" s="157"/>
      <c r="I103" s="157">
        <f>SUM(I104:I105)</f>
        <v>187.49</v>
      </c>
      <c r="J103" s="157"/>
      <c r="K103" s="157">
        <f>SUM(K104:K105)</f>
        <v>15241.21</v>
      </c>
      <c r="L103" s="157"/>
      <c r="M103" s="157">
        <f>SUM(M104:M105)</f>
        <v>0</v>
      </c>
      <c r="N103" s="157"/>
      <c r="O103" s="157">
        <f>SUM(O104:O114)</f>
        <v>0.05</v>
      </c>
      <c r="P103" s="157"/>
      <c r="Q103" s="178">
        <f>SUM(Q104:Q114)</f>
        <v>0.03</v>
      </c>
      <c r="R103" s="152"/>
      <c r="S103" s="152"/>
      <c r="T103" s="152"/>
      <c r="U103" s="152"/>
      <c r="V103" s="152">
        <f>SUM(V104:V105)</f>
        <v>40.1</v>
      </c>
      <c r="W103" s="152"/>
      <c r="X103" s="152"/>
      <c r="Y103" s="181"/>
      <c r="Z103" s="182"/>
      <c r="AG103" t="s">
        <v>93</v>
      </c>
    </row>
    <row r="104" spans="1:60" ht="12.75" outlineLevel="1">
      <c r="A104" s="158">
        <v>31</v>
      </c>
      <c r="B104" s="159" t="s">
        <v>138</v>
      </c>
      <c r="C104" s="171" t="s">
        <v>139</v>
      </c>
      <c r="D104" s="160" t="s">
        <v>100</v>
      </c>
      <c r="E104" s="161">
        <f>SUM(E105:E105)</f>
        <v>130.2</v>
      </c>
      <c r="F104" s="176">
        <v>0</v>
      </c>
      <c r="G104" s="162">
        <f>ROUND(E104*F104,2)</f>
        <v>0</v>
      </c>
      <c r="H104" s="162">
        <v>1.44</v>
      </c>
      <c r="I104" s="162">
        <f>ROUND(E104*H104,2)</f>
        <v>187.49</v>
      </c>
      <c r="J104" s="162">
        <v>117.06</v>
      </c>
      <c r="K104" s="162">
        <f>ROUND(E104*J104,2)</f>
        <v>15241.21</v>
      </c>
      <c r="L104" s="162">
        <v>21</v>
      </c>
      <c r="M104" s="162">
        <f>G104*(1+L104/100)</f>
        <v>0</v>
      </c>
      <c r="N104" s="162">
        <v>0.0004</v>
      </c>
      <c r="O104" s="162">
        <f>ROUND(E104*N104,2)</f>
        <v>0.05</v>
      </c>
      <c r="P104" s="162">
        <v>0</v>
      </c>
      <c r="Q104" s="163">
        <f>ROUND(E104*P104,2)</f>
        <v>0</v>
      </c>
      <c r="R104" s="149"/>
      <c r="S104" s="149" t="s">
        <v>95</v>
      </c>
      <c r="T104" s="149" t="s">
        <v>95</v>
      </c>
      <c r="U104" s="149">
        <v>0.308</v>
      </c>
      <c r="V104" s="149">
        <f>ROUND(E104*U104,2)</f>
        <v>40.1</v>
      </c>
      <c r="W104" s="149"/>
      <c r="X104" s="149" t="s">
        <v>96</v>
      </c>
      <c r="Y104" s="183" t="s">
        <v>221</v>
      </c>
      <c r="Z104" s="183" t="s">
        <v>221</v>
      </c>
      <c r="AA104" s="144"/>
      <c r="AB104" s="144"/>
      <c r="AC104" s="144"/>
      <c r="AD104" s="144"/>
      <c r="AE104" s="144"/>
      <c r="AF104" s="144"/>
      <c r="AG104" s="144" t="s">
        <v>97</v>
      </c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4"/>
      <c r="AT104" s="144"/>
      <c r="AU104" s="144"/>
      <c r="AV104" s="144"/>
      <c r="AW104" s="144"/>
      <c r="AX104" s="144"/>
      <c r="AY104" s="144"/>
      <c r="AZ104" s="144"/>
      <c r="BA104" s="144"/>
      <c r="BB104" s="144"/>
      <c r="BC104" s="144"/>
      <c r="BD104" s="144"/>
      <c r="BE104" s="144"/>
      <c r="BF104" s="144"/>
      <c r="BG104" s="144"/>
      <c r="BH104" s="144"/>
    </row>
    <row r="105" spans="1:60" ht="12.75" outlineLevel="1">
      <c r="A105" s="147"/>
      <c r="B105" s="148"/>
      <c r="C105" s="175" t="s">
        <v>317</v>
      </c>
      <c r="D105" s="150"/>
      <c r="E105" s="151">
        <f>23.5+98.7+8</f>
        <v>130.2</v>
      </c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4"/>
      <c r="Z105" s="144"/>
      <c r="AA105" s="144"/>
      <c r="AB105" s="144"/>
      <c r="AC105" s="144"/>
      <c r="AD105" s="144"/>
      <c r="AE105" s="144"/>
      <c r="AF105" s="144"/>
      <c r="AG105" s="144" t="s">
        <v>98</v>
      </c>
      <c r="AH105" s="144">
        <v>0</v>
      </c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144"/>
      <c r="AY105" s="144"/>
      <c r="AZ105" s="144"/>
      <c r="BA105" s="144"/>
      <c r="BB105" s="144"/>
      <c r="BC105" s="144"/>
      <c r="BD105" s="144"/>
      <c r="BE105" s="144"/>
      <c r="BF105" s="144"/>
      <c r="BG105" s="144"/>
      <c r="BH105" s="144"/>
    </row>
    <row r="106" spans="1:60" ht="12.75" outlineLevel="1">
      <c r="A106" s="158">
        <v>32</v>
      </c>
      <c r="B106" s="159" t="s">
        <v>141</v>
      </c>
      <c r="C106" s="171" t="s">
        <v>144</v>
      </c>
      <c r="D106" s="160" t="s">
        <v>120</v>
      </c>
      <c r="E106" s="161">
        <f>SUM(E107:E110)</f>
        <v>44</v>
      </c>
      <c r="F106" s="176">
        <v>0</v>
      </c>
      <c r="G106" s="162">
        <f>ROUND(E106*F106,2)</f>
        <v>0</v>
      </c>
      <c r="H106" s="162">
        <v>1.44</v>
      </c>
      <c r="I106" s="162">
        <f>ROUND(E106*H106,2)</f>
        <v>63.36</v>
      </c>
      <c r="J106" s="162">
        <v>117.06</v>
      </c>
      <c r="K106" s="162">
        <f>ROUND(E106*J106,2)</f>
        <v>5150.64</v>
      </c>
      <c r="L106" s="162">
        <v>21</v>
      </c>
      <c r="M106" s="162">
        <f>G106*(1+L106/100)</f>
        <v>0</v>
      </c>
      <c r="N106" s="162">
        <v>0</v>
      </c>
      <c r="O106" s="162">
        <f>ROUND(E106*N106,2)</f>
        <v>0</v>
      </c>
      <c r="P106" s="162">
        <v>0</v>
      </c>
      <c r="Q106" s="163">
        <f>ROUND(E106*P106,2)</f>
        <v>0</v>
      </c>
      <c r="R106" s="149"/>
      <c r="S106" s="149" t="s">
        <v>95</v>
      </c>
      <c r="T106" s="149" t="s">
        <v>95</v>
      </c>
      <c r="U106" s="149">
        <v>0.308</v>
      </c>
      <c r="V106" s="149">
        <f>ROUND(E106*U106,2)</f>
        <v>13.55</v>
      </c>
      <c r="W106" s="149"/>
      <c r="X106" s="149" t="s">
        <v>96</v>
      </c>
      <c r="Y106" s="183" t="s">
        <v>105</v>
      </c>
      <c r="Z106" s="183" t="s">
        <v>102</v>
      </c>
      <c r="AA106" s="144"/>
      <c r="AB106" s="144"/>
      <c r="AC106" s="144"/>
      <c r="AD106" s="144"/>
      <c r="AE106" s="144"/>
      <c r="AF106" s="144"/>
      <c r="AG106" s="144" t="s">
        <v>97</v>
      </c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4"/>
      <c r="AT106" s="144"/>
      <c r="AU106" s="144"/>
      <c r="AV106" s="144"/>
      <c r="AW106" s="144"/>
      <c r="AX106" s="144"/>
      <c r="AY106" s="144"/>
      <c r="AZ106" s="144"/>
      <c r="BA106" s="144"/>
      <c r="BB106" s="144"/>
      <c r="BC106" s="144"/>
      <c r="BD106" s="144"/>
      <c r="BE106" s="144"/>
      <c r="BF106" s="144"/>
      <c r="BG106" s="144"/>
      <c r="BH106" s="144"/>
    </row>
    <row r="107" spans="1:60" ht="12.75" outlineLevel="1">
      <c r="A107" s="147"/>
      <c r="B107" s="148"/>
      <c r="C107" s="172" t="s">
        <v>329</v>
      </c>
      <c r="D107" s="150"/>
      <c r="E107" s="151">
        <f>8</f>
        <v>8</v>
      </c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4"/>
      <c r="Z107" s="144"/>
      <c r="AA107" s="144"/>
      <c r="AB107" s="144"/>
      <c r="AC107" s="144"/>
      <c r="AD107" s="144"/>
      <c r="AE107" s="144"/>
      <c r="AF107" s="144"/>
      <c r="AG107" s="144" t="s">
        <v>98</v>
      </c>
      <c r="AH107" s="144">
        <v>0</v>
      </c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</row>
    <row r="108" spans="1:60" ht="12.75" outlineLevel="1">
      <c r="A108" s="147"/>
      <c r="B108" s="148"/>
      <c r="C108" s="172" t="s">
        <v>249</v>
      </c>
      <c r="D108" s="150"/>
      <c r="E108" s="151">
        <f>6</f>
        <v>6</v>
      </c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4"/>
      <c r="Z108" s="144"/>
      <c r="AA108" s="144"/>
      <c r="AB108" s="144"/>
      <c r="AC108" s="144"/>
      <c r="AD108" s="144"/>
      <c r="AE108" s="144"/>
      <c r="AF108" s="144"/>
      <c r="AG108" s="144" t="s">
        <v>98</v>
      </c>
      <c r="AH108" s="144">
        <v>0</v>
      </c>
      <c r="AI108" s="144"/>
      <c r="AJ108" s="144"/>
      <c r="AK108" s="144"/>
      <c r="AL108" s="144"/>
      <c r="AM108" s="144"/>
      <c r="AN108" s="144"/>
      <c r="AO108" s="144"/>
      <c r="AP108" s="144"/>
      <c r="AQ108" s="144"/>
      <c r="AR108" s="144"/>
      <c r="AS108" s="144"/>
      <c r="AT108" s="144"/>
      <c r="AU108" s="144"/>
      <c r="AV108" s="144"/>
      <c r="AW108" s="144"/>
      <c r="AX108" s="144"/>
      <c r="AY108" s="144"/>
      <c r="AZ108" s="144"/>
      <c r="BA108" s="144"/>
      <c r="BB108" s="144"/>
      <c r="BC108" s="144"/>
      <c r="BD108" s="144"/>
      <c r="BE108" s="144"/>
      <c r="BF108" s="144"/>
      <c r="BG108" s="144"/>
      <c r="BH108" s="144"/>
    </row>
    <row r="109" spans="1:60" ht="22.5" outlineLevel="1">
      <c r="A109" s="147"/>
      <c r="B109" s="148"/>
      <c r="C109" s="172" t="s">
        <v>374</v>
      </c>
      <c r="D109" s="150"/>
      <c r="E109" s="151">
        <f>6</f>
        <v>6</v>
      </c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4"/>
      <c r="Z109" s="144"/>
      <c r="AA109" s="144"/>
      <c r="AB109" s="144"/>
      <c r="AC109" s="144"/>
      <c r="AD109" s="144"/>
      <c r="AE109" s="144"/>
      <c r="AF109" s="144"/>
      <c r="AG109" s="144" t="s">
        <v>98</v>
      </c>
      <c r="AH109" s="144">
        <v>0</v>
      </c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</row>
    <row r="110" spans="1:60" ht="12.75" outlineLevel="1">
      <c r="A110" s="147"/>
      <c r="B110" s="148"/>
      <c r="C110" s="172" t="s">
        <v>333</v>
      </c>
      <c r="D110" s="150"/>
      <c r="E110" s="151">
        <f>24</f>
        <v>24</v>
      </c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4"/>
      <c r="Z110" s="144"/>
      <c r="AA110" s="144"/>
      <c r="AB110" s="144"/>
      <c r="AC110" s="144"/>
      <c r="AD110" s="144"/>
      <c r="AE110" s="144"/>
      <c r="AF110" s="144"/>
      <c r="AG110" s="144" t="s">
        <v>98</v>
      </c>
      <c r="AH110" s="144">
        <v>0</v>
      </c>
      <c r="AI110" s="144"/>
      <c r="AJ110" s="144"/>
      <c r="AK110" s="144"/>
      <c r="AL110" s="144"/>
      <c r="AM110" s="144"/>
      <c r="AN110" s="144"/>
      <c r="AO110" s="144"/>
      <c r="AP110" s="144"/>
      <c r="AQ110" s="144"/>
      <c r="AR110" s="144"/>
      <c r="AS110" s="144"/>
      <c r="AT110" s="144"/>
      <c r="AU110" s="144"/>
      <c r="AV110" s="144"/>
      <c r="AW110" s="144"/>
      <c r="AX110" s="144"/>
      <c r="AY110" s="144"/>
      <c r="AZ110" s="144"/>
      <c r="BA110" s="144"/>
      <c r="BB110" s="144"/>
      <c r="BC110" s="144"/>
      <c r="BD110" s="144"/>
      <c r="BE110" s="144"/>
      <c r="BF110" s="144"/>
      <c r="BG110" s="144"/>
      <c r="BH110" s="144"/>
    </row>
    <row r="111" spans="1:60" ht="12.75" outlineLevel="1">
      <c r="A111" s="158">
        <v>33</v>
      </c>
      <c r="B111" s="159" t="s">
        <v>142</v>
      </c>
      <c r="C111" s="171" t="s">
        <v>331</v>
      </c>
      <c r="D111" s="160" t="s">
        <v>104</v>
      </c>
      <c r="E111" s="161">
        <f>SUM(E112:E112)</f>
        <v>1</v>
      </c>
      <c r="F111" s="185">
        <v>0</v>
      </c>
      <c r="G111" s="162">
        <f>ROUND(E111*F111,2)</f>
        <v>0</v>
      </c>
      <c r="H111" s="162">
        <v>1.44</v>
      </c>
      <c r="I111" s="162">
        <f>ROUND(E111*H111,2)</f>
        <v>1.44</v>
      </c>
      <c r="J111" s="162">
        <v>117.06</v>
      </c>
      <c r="K111" s="162">
        <f>ROUND(E111*J111,2)</f>
        <v>117.06</v>
      </c>
      <c r="L111" s="162">
        <v>21</v>
      </c>
      <c r="M111" s="162">
        <f>G111*(1+L111/100)</f>
        <v>0</v>
      </c>
      <c r="N111" s="162">
        <v>0.0005</v>
      </c>
      <c r="O111" s="162">
        <f>ROUND(E111*N111,2)</f>
        <v>0</v>
      </c>
      <c r="P111" s="162">
        <v>0.025</v>
      </c>
      <c r="Q111" s="163">
        <f>ROUND(E111*P111,2)</f>
        <v>0.03</v>
      </c>
      <c r="R111" s="149"/>
      <c r="S111" s="149" t="s">
        <v>95</v>
      </c>
      <c r="T111" s="149" t="s">
        <v>95</v>
      </c>
      <c r="U111" s="149">
        <v>0.308</v>
      </c>
      <c r="V111" s="149">
        <f>ROUND(E111*U111,2)</f>
        <v>0.31</v>
      </c>
      <c r="W111" s="149"/>
      <c r="X111" s="149" t="s">
        <v>96</v>
      </c>
      <c r="Y111" s="183" t="s">
        <v>105</v>
      </c>
      <c r="Z111" s="183" t="s">
        <v>102</v>
      </c>
      <c r="AA111" s="144"/>
      <c r="AB111" s="144"/>
      <c r="AC111" s="144"/>
      <c r="AD111" s="144"/>
      <c r="AE111" s="144"/>
      <c r="AF111" s="144"/>
      <c r="AG111" s="144" t="s">
        <v>97</v>
      </c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4"/>
      <c r="AT111" s="144"/>
      <c r="AU111" s="144"/>
      <c r="AV111" s="144"/>
      <c r="AW111" s="144"/>
      <c r="AX111" s="144"/>
      <c r="AY111" s="144"/>
      <c r="AZ111" s="144"/>
      <c r="BA111" s="144"/>
      <c r="BB111" s="144"/>
      <c r="BC111" s="144"/>
      <c r="BD111" s="144"/>
      <c r="BE111" s="144"/>
      <c r="BF111" s="144"/>
      <c r="BG111" s="144"/>
      <c r="BH111" s="144"/>
    </row>
    <row r="112" spans="1:60" ht="12.75" outlineLevel="1">
      <c r="A112" s="147"/>
      <c r="B112" s="148"/>
      <c r="C112" s="175" t="s">
        <v>332</v>
      </c>
      <c r="D112" s="150"/>
      <c r="E112" s="151">
        <v>1</v>
      </c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4"/>
      <c r="Z112" s="144"/>
      <c r="AA112" s="144"/>
      <c r="AB112" s="144"/>
      <c r="AC112" s="144"/>
      <c r="AD112" s="144"/>
      <c r="AE112" s="144"/>
      <c r="AF112" s="144"/>
      <c r="AG112" s="144" t="s">
        <v>98</v>
      </c>
      <c r="AH112" s="144">
        <v>0</v>
      </c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4"/>
      <c r="AT112" s="144"/>
      <c r="AU112" s="144"/>
      <c r="AV112" s="144"/>
      <c r="AW112" s="144"/>
      <c r="AX112" s="144"/>
      <c r="AY112" s="144"/>
      <c r="AZ112" s="144"/>
      <c r="BA112" s="144"/>
      <c r="BB112" s="144"/>
      <c r="BC112" s="144"/>
      <c r="BD112" s="144"/>
      <c r="BE112" s="144"/>
      <c r="BF112" s="144"/>
      <c r="BG112" s="144"/>
      <c r="BH112" s="144"/>
    </row>
    <row r="113" spans="1:60" ht="22.5" outlineLevel="1">
      <c r="A113" s="158">
        <v>34</v>
      </c>
      <c r="B113" s="159" t="s">
        <v>143</v>
      </c>
      <c r="C113" s="171" t="s">
        <v>189</v>
      </c>
      <c r="D113" s="160" t="s">
        <v>104</v>
      </c>
      <c r="E113" s="161">
        <f>SUM(E114:E114)</f>
        <v>2</v>
      </c>
      <c r="F113" s="185">
        <v>0</v>
      </c>
      <c r="G113" s="162">
        <f>ROUND(E113*F113,2)</f>
        <v>0</v>
      </c>
      <c r="H113" s="162">
        <v>1.44</v>
      </c>
      <c r="I113" s="162">
        <f>ROUND(E113*H113,2)</f>
        <v>2.88</v>
      </c>
      <c r="J113" s="162">
        <v>117.06</v>
      </c>
      <c r="K113" s="162">
        <f>ROUND(E113*J113,2)</f>
        <v>234.12</v>
      </c>
      <c r="L113" s="162">
        <v>21</v>
      </c>
      <c r="M113" s="162">
        <f>G113*(1+L113/100)</f>
        <v>0</v>
      </c>
      <c r="N113" s="162">
        <v>0.0005</v>
      </c>
      <c r="O113" s="162">
        <f>ROUND(E113*N113,2)</f>
        <v>0</v>
      </c>
      <c r="P113" s="162">
        <v>0</v>
      </c>
      <c r="Q113" s="163">
        <f>ROUND(E113*P113,2)</f>
        <v>0</v>
      </c>
      <c r="R113" s="149"/>
      <c r="S113" s="149" t="s">
        <v>95</v>
      </c>
      <c r="T113" s="149" t="s">
        <v>95</v>
      </c>
      <c r="U113" s="149">
        <v>0.308</v>
      </c>
      <c r="V113" s="149">
        <f>ROUND(E113*U113,2)</f>
        <v>0.62</v>
      </c>
      <c r="W113" s="149"/>
      <c r="X113" s="149" t="s">
        <v>96</v>
      </c>
      <c r="Y113" s="183" t="s">
        <v>105</v>
      </c>
      <c r="Z113" s="183" t="s">
        <v>102</v>
      </c>
      <c r="AA113" s="144"/>
      <c r="AB113" s="144"/>
      <c r="AC113" s="144"/>
      <c r="AD113" s="144"/>
      <c r="AE113" s="144"/>
      <c r="AF113" s="144"/>
      <c r="AG113" s="144" t="s">
        <v>97</v>
      </c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</row>
    <row r="114" spans="1:60" ht="12.75" outlineLevel="1">
      <c r="A114" s="147"/>
      <c r="B114" s="148"/>
      <c r="C114" s="175" t="s">
        <v>330</v>
      </c>
      <c r="D114" s="150"/>
      <c r="E114" s="151">
        <v>2</v>
      </c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4"/>
      <c r="Z114" s="144"/>
      <c r="AA114" s="144"/>
      <c r="AB114" s="144"/>
      <c r="AC114" s="144"/>
      <c r="AD114" s="144"/>
      <c r="AE114" s="144"/>
      <c r="AF114" s="144"/>
      <c r="AG114" s="144" t="s">
        <v>98</v>
      </c>
      <c r="AH114" s="144">
        <v>0</v>
      </c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4"/>
      <c r="AT114" s="144"/>
      <c r="AU114" s="144"/>
      <c r="AV114" s="144"/>
      <c r="AW114" s="144"/>
      <c r="AX114" s="144"/>
      <c r="AY114" s="144"/>
      <c r="AZ114" s="144"/>
      <c r="BA114" s="144"/>
      <c r="BB114" s="144"/>
      <c r="BC114" s="144"/>
      <c r="BD114" s="144"/>
      <c r="BE114" s="144"/>
      <c r="BF114" s="144"/>
      <c r="BG114" s="144"/>
      <c r="BH114" s="144"/>
    </row>
    <row r="115" spans="1:33" ht="12.75">
      <c r="A115" s="153" t="s">
        <v>92</v>
      </c>
      <c r="B115" s="154" t="s">
        <v>57</v>
      </c>
      <c r="C115" s="170" t="s">
        <v>58</v>
      </c>
      <c r="D115" s="155"/>
      <c r="E115" s="156"/>
      <c r="F115" s="157"/>
      <c r="G115" s="157">
        <f>SUMIF(AG116:AG135,"&lt;&gt;NOR",G116:G135)</f>
        <v>0</v>
      </c>
      <c r="H115" s="157"/>
      <c r="I115" s="157" t="e">
        <f>SUM(#REF!)</f>
        <v>#REF!</v>
      </c>
      <c r="J115" s="157"/>
      <c r="K115" s="157" t="e">
        <f>SUM(#REF!)</f>
        <v>#REF!</v>
      </c>
      <c r="L115" s="157"/>
      <c r="M115" s="157" t="e">
        <f>SUM(#REF!)</f>
        <v>#REF!</v>
      </c>
      <c r="N115" s="157"/>
      <c r="O115" s="157">
        <f>SUM(O116:O135)</f>
        <v>0.02</v>
      </c>
      <c r="P115" s="157"/>
      <c r="Q115" s="178">
        <f>SUM(Q116:Q135)</f>
        <v>3.4299999999999997</v>
      </c>
      <c r="R115" s="152"/>
      <c r="S115" s="152"/>
      <c r="T115" s="152"/>
      <c r="U115" s="152"/>
      <c r="V115" s="152" t="e">
        <f>SUM(#REF!)</f>
        <v>#REF!</v>
      </c>
      <c r="W115" s="152"/>
      <c r="X115" s="152"/>
      <c r="Y115" s="178"/>
      <c r="Z115" s="184"/>
      <c r="AG115" t="s">
        <v>93</v>
      </c>
    </row>
    <row r="116" spans="1:60" ht="12.75" outlineLevel="1">
      <c r="A116" s="158">
        <v>35</v>
      </c>
      <c r="B116" s="159" t="s">
        <v>132</v>
      </c>
      <c r="C116" s="171" t="s">
        <v>133</v>
      </c>
      <c r="D116" s="160" t="s">
        <v>94</v>
      </c>
      <c r="E116" s="161">
        <f>SUM(E117:E118)</f>
        <v>0.14</v>
      </c>
      <c r="F116" s="176">
        <v>0</v>
      </c>
      <c r="G116" s="162">
        <f>ROUND(E116*F116,2)</f>
        <v>0</v>
      </c>
      <c r="H116" s="162">
        <v>230.43</v>
      </c>
      <c r="I116" s="162">
        <f>ROUND(E116*H116,2)</f>
        <v>32.26</v>
      </c>
      <c r="J116" s="162">
        <v>75.07</v>
      </c>
      <c r="K116" s="162">
        <f>ROUND(E116*J116,2)</f>
        <v>10.51</v>
      </c>
      <c r="L116" s="162">
        <v>21</v>
      </c>
      <c r="M116" s="162">
        <f>G116*(1+L116/100)</f>
        <v>0</v>
      </c>
      <c r="N116" s="162">
        <v>0</v>
      </c>
      <c r="O116" s="162">
        <f>ROUND(E116*N116,2)</f>
        <v>0</v>
      </c>
      <c r="P116" s="162">
        <v>2.45</v>
      </c>
      <c r="Q116" s="163">
        <f>ROUND(E116*P116,2)</f>
        <v>0.34</v>
      </c>
      <c r="R116" s="149"/>
      <c r="S116" s="149" t="s">
        <v>95</v>
      </c>
      <c r="T116" s="149" t="s">
        <v>95</v>
      </c>
      <c r="U116" s="149">
        <v>0.162</v>
      </c>
      <c r="V116" s="149">
        <f>ROUND(E116*U116,2)</f>
        <v>0.02</v>
      </c>
      <c r="W116" s="149"/>
      <c r="X116" s="149" t="s">
        <v>96</v>
      </c>
      <c r="Y116" s="183" t="s">
        <v>221</v>
      </c>
      <c r="Z116" s="183" t="s">
        <v>221</v>
      </c>
      <c r="AA116" s="144"/>
      <c r="AB116" s="144"/>
      <c r="AC116" s="144"/>
      <c r="AD116" s="144"/>
      <c r="AE116" s="144"/>
      <c r="AF116" s="144"/>
      <c r="AG116" s="144" t="s">
        <v>97</v>
      </c>
      <c r="AH116" s="144"/>
      <c r="AI116" s="144"/>
      <c r="AJ116" s="144"/>
      <c r="AK116" s="144"/>
      <c r="AL116" s="144"/>
      <c r="AM116" s="144"/>
      <c r="AN116" s="144"/>
      <c r="AO116" s="144"/>
      <c r="AP116" s="144"/>
      <c r="AQ116" s="144"/>
      <c r="AR116" s="144"/>
      <c r="AS116" s="144"/>
      <c r="AT116" s="144"/>
      <c r="AU116" s="144"/>
      <c r="AV116" s="144"/>
      <c r="AW116" s="144"/>
      <c r="AX116" s="144"/>
      <c r="AY116" s="144"/>
      <c r="AZ116" s="144"/>
      <c r="BA116" s="144"/>
      <c r="BB116" s="144"/>
      <c r="BC116" s="144"/>
      <c r="BD116" s="144"/>
      <c r="BE116" s="144"/>
      <c r="BF116" s="144"/>
      <c r="BG116" s="144"/>
      <c r="BH116" s="144"/>
    </row>
    <row r="117" spans="1:60" ht="12.75" outlineLevel="1">
      <c r="A117" s="147"/>
      <c r="B117" s="148"/>
      <c r="C117" s="175" t="s">
        <v>334</v>
      </c>
      <c r="D117" s="150"/>
      <c r="E117" s="151">
        <f>0.4*1*0.2</f>
        <v>0.08000000000000002</v>
      </c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4"/>
      <c r="Z117" s="144"/>
      <c r="AA117" s="144"/>
      <c r="AB117" s="144"/>
      <c r="AC117" s="144"/>
      <c r="AD117" s="144"/>
      <c r="AE117" s="144"/>
      <c r="AF117" s="144"/>
      <c r="AG117" s="144" t="s">
        <v>98</v>
      </c>
      <c r="AH117" s="144">
        <v>0</v>
      </c>
      <c r="AI117" s="144"/>
      <c r="AJ117" s="144"/>
      <c r="AK117" s="144"/>
      <c r="AL117" s="144"/>
      <c r="AM117" s="144"/>
      <c r="AN117" s="144"/>
      <c r="AO117" s="144"/>
      <c r="AP117" s="144"/>
      <c r="AQ117" s="144"/>
      <c r="AR117" s="144"/>
      <c r="AS117" s="144"/>
      <c r="AT117" s="144"/>
      <c r="AU117" s="144"/>
      <c r="AV117" s="144"/>
      <c r="AW117" s="144"/>
      <c r="AX117" s="144"/>
      <c r="AY117" s="144"/>
      <c r="AZ117" s="144"/>
      <c r="BA117" s="144"/>
      <c r="BB117" s="144"/>
      <c r="BC117" s="144"/>
      <c r="BD117" s="144"/>
      <c r="BE117" s="144"/>
      <c r="BF117" s="144"/>
      <c r="BG117" s="144"/>
      <c r="BH117" s="144"/>
    </row>
    <row r="118" spans="1:60" ht="12.75" outlineLevel="1">
      <c r="A118" s="147"/>
      <c r="B118" s="148"/>
      <c r="C118" s="175" t="s">
        <v>335</v>
      </c>
      <c r="D118" s="150"/>
      <c r="E118" s="151">
        <f>0.1*2*0.15*2</f>
        <v>0.06</v>
      </c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4"/>
      <c r="Z118" s="144"/>
      <c r="AA118" s="144"/>
      <c r="AB118" s="144"/>
      <c r="AC118" s="144"/>
      <c r="AD118" s="144"/>
      <c r="AE118" s="144"/>
      <c r="AF118" s="144"/>
      <c r="AG118" s="144" t="s">
        <v>98</v>
      </c>
      <c r="AH118" s="144">
        <v>0</v>
      </c>
      <c r="AI118" s="144"/>
      <c r="AJ118" s="144"/>
      <c r="AK118" s="144"/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/>
      <c r="AZ118" s="144"/>
      <c r="BA118" s="144"/>
      <c r="BB118" s="144"/>
      <c r="BC118" s="144"/>
      <c r="BD118" s="144"/>
      <c r="BE118" s="144"/>
      <c r="BF118" s="144"/>
      <c r="BG118" s="144"/>
      <c r="BH118" s="144"/>
    </row>
    <row r="119" spans="1:60" ht="12.75" outlineLevel="1">
      <c r="A119" s="158">
        <v>36</v>
      </c>
      <c r="B119" s="159" t="s">
        <v>224</v>
      </c>
      <c r="C119" s="171" t="s">
        <v>225</v>
      </c>
      <c r="D119" s="160" t="s">
        <v>94</v>
      </c>
      <c r="E119" s="161">
        <f>SUM(E120:E120)</f>
        <v>1.1039999999999999</v>
      </c>
      <c r="F119" s="185">
        <v>0</v>
      </c>
      <c r="G119" s="162">
        <f>ROUND(E119*F119,2)</f>
        <v>0</v>
      </c>
      <c r="H119" s="162">
        <v>230.43</v>
      </c>
      <c r="I119" s="162">
        <f>ROUND(E119*H119,2)</f>
        <v>254.39</v>
      </c>
      <c r="J119" s="162">
        <v>75.07</v>
      </c>
      <c r="K119" s="162">
        <f>ROUND(E119*J119,2)</f>
        <v>82.88</v>
      </c>
      <c r="L119" s="162">
        <v>21</v>
      </c>
      <c r="M119" s="162">
        <f>G119*(1+L119/100)</f>
        <v>0</v>
      </c>
      <c r="N119" s="162">
        <v>0</v>
      </c>
      <c r="O119" s="162">
        <f>ROUND(E119*N119,2)</f>
        <v>0</v>
      </c>
      <c r="P119" s="162">
        <v>2.2</v>
      </c>
      <c r="Q119" s="163">
        <f>ROUND(E119*P119,2)</f>
        <v>2.43</v>
      </c>
      <c r="R119" s="149"/>
      <c r="S119" s="149" t="s">
        <v>95</v>
      </c>
      <c r="T119" s="149" t="s">
        <v>95</v>
      </c>
      <c r="U119" s="149">
        <v>0.162</v>
      </c>
      <c r="V119" s="149">
        <f>ROUND(E119*U119,2)</f>
        <v>0.18</v>
      </c>
      <c r="W119" s="149"/>
      <c r="X119" s="149" t="s">
        <v>96</v>
      </c>
      <c r="Y119" s="183" t="s">
        <v>221</v>
      </c>
      <c r="Z119" s="183" t="s">
        <v>221</v>
      </c>
      <c r="AA119" s="144"/>
      <c r="AB119" s="144"/>
      <c r="AC119" s="144"/>
      <c r="AD119" s="144"/>
      <c r="AE119" s="144"/>
      <c r="AF119" s="144"/>
      <c r="AG119" s="144" t="s">
        <v>97</v>
      </c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4"/>
      <c r="AT119" s="144"/>
      <c r="AU119" s="144"/>
      <c r="AV119" s="144"/>
      <c r="AW119" s="144"/>
      <c r="AX119" s="144"/>
      <c r="AY119" s="144"/>
      <c r="AZ119" s="144"/>
      <c r="BA119" s="144"/>
      <c r="BB119" s="144"/>
      <c r="BC119" s="144"/>
      <c r="BD119" s="144"/>
      <c r="BE119" s="144"/>
      <c r="BF119" s="144"/>
      <c r="BG119" s="144"/>
      <c r="BH119" s="144"/>
    </row>
    <row r="120" spans="1:60" ht="12.75" outlineLevel="1">
      <c r="A120" s="147"/>
      <c r="B120" s="148"/>
      <c r="C120" s="175" t="s">
        <v>336</v>
      </c>
      <c r="D120" s="150"/>
      <c r="E120" s="151">
        <f>1.2*2.3*0.4</f>
        <v>1.1039999999999999</v>
      </c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4"/>
      <c r="Z120" s="144"/>
      <c r="AA120" s="144"/>
      <c r="AB120" s="144"/>
      <c r="AC120" s="144"/>
      <c r="AD120" s="144"/>
      <c r="AE120" s="144"/>
      <c r="AF120" s="144"/>
      <c r="AG120" s="144" t="s">
        <v>98</v>
      </c>
      <c r="AH120" s="144">
        <v>0</v>
      </c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144"/>
      <c r="AV120" s="144"/>
      <c r="AW120" s="144"/>
      <c r="AX120" s="144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</row>
    <row r="121" spans="1:60" ht="12.75" outlineLevel="1">
      <c r="A121" s="158">
        <v>37</v>
      </c>
      <c r="B121" s="159" t="s">
        <v>226</v>
      </c>
      <c r="C121" s="171" t="s">
        <v>227</v>
      </c>
      <c r="D121" s="160" t="s">
        <v>103</v>
      </c>
      <c r="E121" s="161">
        <f>SUM(E122:E122)</f>
        <v>1.5</v>
      </c>
      <c r="F121" s="185">
        <v>0</v>
      </c>
      <c r="G121" s="162">
        <f>ROUND(E121*F121,2)</f>
        <v>0</v>
      </c>
      <c r="H121" s="162">
        <v>230.43</v>
      </c>
      <c r="I121" s="162">
        <f>ROUND(E121*H121,2)</f>
        <v>345.65</v>
      </c>
      <c r="J121" s="162">
        <v>75.07</v>
      </c>
      <c r="K121" s="162">
        <f>ROUND(E121*J121,2)</f>
        <v>112.61</v>
      </c>
      <c r="L121" s="162">
        <v>21</v>
      </c>
      <c r="M121" s="162">
        <f>G121*(1+L121/100)</f>
        <v>0</v>
      </c>
      <c r="N121" s="162">
        <v>0.012</v>
      </c>
      <c r="O121" s="162">
        <f>ROUND(E121*N121,2)</f>
        <v>0.02</v>
      </c>
      <c r="P121" s="162">
        <v>0</v>
      </c>
      <c r="Q121" s="163">
        <f>ROUND(E121*P121,2)</f>
        <v>0</v>
      </c>
      <c r="R121" s="149"/>
      <c r="S121" s="149" t="s">
        <v>95</v>
      </c>
      <c r="T121" s="149" t="s">
        <v>95</v>
      </c>
      <c r="U121" s="149">
        <v>0.162</v>
      </c>
      <c r="V121" s="149">
        <f>ROUND(E121*U121,2)</f>
        <v>0.24</v>
      </c>
      <c r="W121" s="149"/>
      <c r="X121" s="149" t="s">
        <v>96</v>
      </c>
      <c r="Y121" s="183" t="s">
        <v>221</v>
      </c>
      <c r="Z121" s="183" t="s">
        <v>221</v>
      </c>
      <c r="AA121" s="144"/>
      <c r="AB121" s="144"/>
      <c r="AC121" s="144"/>
      <c r="AD121" s="144"/>
      <c r="AE121" s="144"/>
      <c r="AF121" s="144"/>
      <c r="AG121" s="144" t="s">
        <v>97</v>
      </c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4"/>
      <c r="AT121" s="144"/>
      <c r="AU121" s="144"/>
      <c r="AV121" s="144"/>
      <c r="AW121" s="144"/>
      <c r="AX121" s="144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</row>
    <row r="122" spans="1:60" ht="22.5" outlineLevel="1">
      <c r="A122" s="147"/>
      <c r="B122" s="148"/>
      <c r="C122" s="175" t="s">
        <v>337</v>
      </c>
      <c r="D122" s="150"/>
      <c r="E122" s="151">
        <f>1.5</f>
        <v>1.5</v>
      </c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4"/>
      <c r="Z122" s="144"/>
      <c r="AA122" s="144"/>
      <c r="AB122" s="144"/>
      <c r="AC122" s="144"/>
      <c r="AD122" s="144"/>
      <c r="AE122" s="144"/>
      <c r="AF122" s="144"/>
      <c r="AG122" s="144" t="s">
        <v>98</v>
      </c>
      <c r="AH122" s="144">
        <v>0</v>
      </c>
      <c r="AI122" s="144"/>
      <c r="AJ122" s="144"/>
      <c r="AK122" s="144"/>
      <c r="AL122" s="144"/>
      <c r="AM122" s="144"/>
      <c r="AN122" s="144"/>
      <c r="AO122" s="144"/>
      <c r="AP122" s="144"/>
      <c r="AQ122" s="144"/>
      <c r="AR122" s="144"/>
      <c r="AS122" s="144"/>
      <c r="AT122" s="144"/>
      <c r="AU122" s="144"/>
      <c r="AV122" s="144"/>
      <c r="AW122" s="144"/>
      <c r="AX122" s="144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</row>
    <row r="123" spans="1:60" ht="12.75" outlineLevel="1">
      <c r="A123" s="158">
        <v>38</v>
      </c>
      <c r="B123" s="159" t="s">
        <v>347</v>
      </c>
      <c r="C123" s="171" t="s">
        <v>348</v>
      </c>
      <c r="D123" s="160" t="s">
        <v>104</v>
      </c>
      <c r="E123" s="161">
        <f>SUM(E124:E124)</f>
        <v>2</v>
      </c>
      <c r="F123" s="185">
        <v>0</v>
      </c>
      <c r="G123" s="162">
        <f>ROUND(E123*F123,2)</f>
        <v>0</v>
      </c>
      <c r="H123" s="162">
        <v>230.43</v>
      </c>
      <c r="I123" s="162">
        <f>ROUND(E123*H123,2)</f>
        <v>460.86</v>
      </c>
      <c r="J123" s="162">
        <v>75.07</v>
      </c>
      <c r="K123" s="162">
        <f>ROUND(E123*J123,2)</f>
        <v>150.14</v>
      </c>
      <c r="L123" s="162">
        <v>21</v>
      </c>
      <c r="M123" s="162">
        <f>G123*(1+L123/100)</f>
        <v>0</v>
      </c>
      <c r="N123" s="162">
        <v>0</v>
      </c>
      <c r="O123" s="162">
        <f>ROUND(E123*N123,2)</f>
        <v>0</v>
      </c>
      <c r="P123" s="162">
        <v>0.025</v>
      </c>
      <c r="Q123" s="163">
        <f>ROUND(E123*P123,2)</f>
        <v>0.05</v>
      </c>
      <c r="R123" s="149"/>
      <c r="S123" s="149" t="s">
        <v>95</v>
      </c>
      <c r="T123" s="149" t="s">
        <v>95</v>
      </c>
      <c r="U123" s="149">
        <v>0.162</v>
      </c>
      <c r="V123" s="149">
        <f>ROUND(E123*U123,2)</f>
        <v>0.32</v>
      </c>
      <c r="W123" s="149"/>
      <c r="X123" s="149" t="s">
        <v>96</v>
      </c>
      <c r="Y123" s="183" t="s">
        <v>221</v>
      </c>
      <c r="Z123" s="183" t="s">
        <v>221</v>
      </c>
      <c r="AA123" s="144"/>
      <c r="AB123" s="144"/>
      <c r="AC123" s="144"/>
      <c r="AD123" s="144"/>
      <c r="AE123" s="144"/>
      <c r="AF123" s="144"/>
      <c r="AG123" s="144" t="s">
        <v>97</v>
      </c>
      <c r="AH123" s="144"/>
      <c r="AI123" s="144"/>
      <c r="AJ123" s="144"/>
      <c r="AK123" s="144"/>
      <c r="AL123" s="144"/>
      <c r="AM123" s="144"/>
      <c r="AN123" s="144"/>
      <c r="AO123" s="144"/>
      <c r="AP123" s="144"/>
      <c r="AQ123" s="144"/>
      <c r="AR123" s="144"/>
      <c r="AS123" s="144"/>
      <c r="AT123" s="144"/>
      <c r="AU123" s="144"/>
      <c r="AV123" s="144"/>
      <c r="AW123" s="144"/>
      <c r="AX123" s="144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</row>
    <row r="124" spans="1:60" ht="12.75" outlineLevel="1">
      <c r="A124" s="147"/>
      <c r="B124" s="148"/>
      <c r="C124" s="175" t="s">
        <v>346</v>
      </c>
      <c r="D124" s="150"/>
      <c r="E124" s="151">
        <f>2</f>
        <v>2</v>
      </c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4"/>
      <c r="Z124" s="144"/>
      <c r="AA124" s="144"/>
      <c r="AB124" s="144"/>
      <c r="AC124" s="144"/>
      <c r="AD124" s="144"/>
      <c r="AE124" s="144"/>
      <c r="AF124" s="144"/>
      <c r="AG124" s="144" t="s">
        <v>98</v>
      </c>
      <c r="AH124" s="144">
        <v>0</v>
      </c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</row>
    <row r="125" spans="1:60" ht="12.75" customHeight="1" outlineLevel="1">
      <c r="A125" s="158">
        <v>39</v>
      </c>
      <c r="B125" s="159" t="s">
        <v>228</v>
      </c>
      <c r="C125" s="171" t="s">
        <v>229</v>
      </c>
      <c r="D125" s="160" t="s">
        <v>94</v>
      </c>
      <c r="E125" s="161">
        <f>SUM(E126:E127)</f>
        <v>0.093</v>
      </c>
      <c r="F125" s="185">
        <v>0</v>
      </c>
      <c r="G125" s="162">
        <f>ROUND(E125*F125,2)</f>
        <v>0</v>
      </c>
      <c r="H125" s="162">
        <v>0</v>
      </c>
      <c r="I125" s="162">
        <f>ROUND(E125*H125,2)</f>
        <v>0</v>
      </c>
      <c r="J125" s="162">
        <v>3065</v>
      </c>
      <c r="K125" s="162">
        <f>ROUND(E125*J125,2)</f>
        <v>285.05</v>
      </c>
      <c r="L125" s="162">
        <v>21</v>
      </c>
      <c r="M125" s="162">
        <f>G125*(1+L125/100)</f>
        <v>0</v>
      </c>
      <c r="N125" s="162">
        <v>0</v>
      </c>
      <c r="O125" s="162">
        <f>ROUND(E125*N125,2)</f>
        <v>0</v>
      </c>
      <c r="P125" s="162">
        <v>2.45</v>
      </c>
      <c r="Q125" s="163">
        <f>ROUND(E125*P125,2)</f>
        <v>0.23</v>
      </c>
      <c r="R125" s="149"/>
      <c r="S125" s="149" t="s">
        <v>95</v>
      </c>
      <c r="T125" s="149" t="s">
        <v>95</v>
      </c>
      <c r="U125" s="149">
        <v>3.318</v>
      </c>
      <c r="V125" s="149">
        <f>ROUND(E125*U125,2)</f>
        <v>0.31</v>
      </c>
      <c r="W125" s="149"/>
      <c r="X125" s="149" t="s">
        <v>96</v>
      </c>
      <c r="Y125" s="183" t="s">
        <v>221</v>
      </c>
      <c r="Z125" s="183" t="s">
        <v>221</v>
      </c>
      <c r="AA125" s="144"/>
      <c r="AB125" s="144"/>
      <c r="AC125" s="144"/>
      <c r="AD125" s="144"/>
      <c r="AE125" s="144"/>
      <c r="AF125" s="144"/>
      <c r="AG125" s="144" t="s">
        <v>97</v>
      </c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4"/>
      <c r="AT125" s="144"/>
      <c r="AU125" s="144"/>
      <c r="AV125" s="144"/>
      <c r="AW125" s="144"/>
      <c r="AX125" s="144"/>
      <c r="AY125" s="144"/>
      <c r="AZ125" s="144"/>
      <c r="BA125" s="144"/>
      <c r="BB125" s="144"/>
      <c r="BC125" s="144"/>
      <c r="BD125" s="144"/>
      <c r="BE125" s="144"/>
      <c r="BF125" s="144"/>
      <c r="BG125" s="144"/>
      <c r="BH125" s="144"/>
    </row>
    <row r="126" spans="1:60" ht="12.75" outlineLevel="1">
      <c r="A126" s="147"/>
      <c r="B126" s="148"/>
      <c r="C126" s="175" t="s">
        <v>338</v>
      </c>
      <c r="D126" s="150"/>
      <c r="E126" s="151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4"/>
      <c r="Z126" s="144"/>
      <c r="AA126" s="144"/>
      <c r="AB126" s="144"/>
      <c r="AC126" s="144"/>
      <c r="AD126" s="144"/>
      <c r="AE126" s="144"/>
      <c r="AF126" s="144"/>
      <c r="AG126" s="144" t="s">
        <v>98</v>
      </c>
      <c r="AH126" s="144">
        <v>0</v>
      </c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4"/>
      <c r="AT126" s="144"/>
      <c r="AU126" s="144"/>
      <c r="AV126" s="144"/>
      <c r="AW126" s="144"/>
      <c r="AX126" s="144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</row>
    <row r="127" spans="1:60" ht="12.75" outlineLevel="1">
      <c r="A127" s="147"/>
      <c r="B127" s="148"/>
      <c r="C127" s="175" t="s">
        <v>339</v>
      </c>
      <c r="D127" s="150"/>
      <c r="E127" s="151">
        <f>2.5*1*0.03+1.8*0.2*0.03+1.2*0.2*0.03</f>
        <v>0.093</v>
      </c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4"/>
      <c r="Z127" s="144"/>
      <c r="AA127" s="144"/>
      <c r="AB127" s="144"/>
      <c r="AC127" s="144"/>
      <c r="AD127" s="144"/>
      <c r="AE127" s="144"/>
      <c r="AF127" s="144"/>
      <c r="AG127" s="144" t="s">
        <v>98</v>
      </c>
      <c r="AH127" s="144">
        <v>0</v>
      </c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4"/>
      <c r="AT127" s="144"/>
      <c r="AU127" s="144"/>
      <c r="AV127" s="144"/>
      <c r="AW127" s="144"/>
      <c r="AX127" s="144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</row>
    <row r="128" spans="1:60" ht="12.75" outlineLevel="1">
      <c r="A128" s="158">
        <v>40</v>
      </c>
      <c r="B128" s="159" t="s">
        <v>230</v>
      </c>
      <c r="C128" s="171" t="s">
        <v>231</v>
      </c>
      <c r="D128" s="160" t="s">
        <v>100</v>
      </c>
      <c r="E128" s="161">
        <f>SUM(E129:E129)</f>
        <v>3.0999999999999996</v>
      </c>
      <c r="F128" s="185">
        <v>0</v>
      </c>
      <c r="G128" s="162">
        <f>ROUND(E128*F128,2)</f>
        <v>0</v>
      </c>
      <c r="H128" s="162">
        <v>230.43</v>
      </c>
      <c r="I128" s="162">
        <f>ROUND(E128*H128,2)</f>
        <v>714.33</v>
      </c>
      <c r="J128" s="162">
        <v>75.07</v>
      </c>
      <c r="K128" s="162">
        <f>ROUND(E128*J128,2)</f>
        <v>232.72</v>
      </c>
      <c r="L128" s="162">
        <v>21</v>
      </c>
      <c r="M128" s="162">
        <f>G128*(1+L128/100)</f>
        <v>0</v>
      </c>
      <c r="N128" s="162">
        <v>0</v>
      </c>
      <c r="O128" s="162">
        <f>ROUND(E128*N128,2)</f>
        <v>0</v>
      </c>
      <c r="P128" s="162">
        <v>0.006</v>
      </c>
      <c r="Q128" s="163">
        <f>ROUND(E128*P128,2)</f>
        <v>0.02</v>
      </c>
      <c r="R128" s="149"/>
      <c r="S128" s="149" t="s">
        <v>95</v>
      </c>
      <c r="T128" s="149" t="s">
        <v>95</v>
      </c>
      <c r="U128" s="149">
        <v>0.162</v>
      </c>
      <c r="V128" s="149">
        <f>ROUND(E128*U128,2)</f>
        <v>0.5</v>
      </c>
      <c r="W128" s="149"/>
      <c r="X128" s="149" t="s">
        <v>96</v>
      </c>
      <c r="Y128" s="183" t="s">
        <v>221</v>
      </c>
      <c r="Z128" s="183" t="s">
        <v>221</v>
      </c>
      <c r="AA128" s="144"/>
      <c r="AB128" s="144"/>
      <c r="AC128" s="144"/>
      <c r="AD128" s="144"/>
      <c r="AE128" s="144"/>
      <c r="AF128" s="144"/>
      <c r="AG128" s="144" t="s">
        <v>97</v>
      </c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144"/>
      <c r="AV128" s="144"/>
      <c r="AW128" s="144"/>
      <c r="AX128" s="144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</row>
    <row r="129" spans="1:60" ht="12.75" outlineLevel="1">
      <c r="A129" s="147"/>
      <c r="B129" s="148"/>
      <c r="C129" s="175" t="s">
        <v>343</v>
      </c>
      <c r="D129" s="150"/>
      <c r="E129" s="151">
        <f>2.5*1+1.8*0.2+1.2*0.2</f>
        <v>3.0999999999999996</v>
      </c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4"/>
      <c r="Z129" s="144"/>
      <c r="AA129" s="144"/>
      <c r="AB129" s="144"/>
      <c r="AC129" s="144"/>
      <c r="AD129" s="144"/>
      <c r="AE129" s="144"/>
      <c r="AF129" s="144"/>
      <c r="AG129" s="144" t="s">
        <v>98</v>
      </c>
      <c r="AH129" s="144">
        <v>0</v>
      </c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</row>
    <row r="130" spans="1:60" ht="13.5" customHeight="1" outlineLevel="1">
      <c r="A130" s="158">
        <v>41</v>
      </c>
      <c r="B130" s="159" t="s">
        <v>222</v>
      </c>
      <c r="C130" s="171" t="s">
        <v>223</v>
      </c>
      <c r="D130" s="160" t="s">
        <v>100</v>
      </c>
      <c r="E130" s="161">
        <f>SUM(E131:E131)</f>
        <v>7.52</v>
      </c>
      <c r="F130" s="185">
        <v>0</v>
      </c>
      <c r="G130" s="162">
        <f>ROUND(E130*F130,2)</f>
        <v>0</v>
      </c>
      <c r="H130" s="162">
        <v>230.43</v>
      </c>
      <c r="I130" s="162">
        <f>ROUND(E130*H130,2)</f>
        <v>1732.83</v>
      </c>
      <c r="J130" s="162">
        <v>75.07</v>
      </c>
      <c r="K130" s="162">
        <f>ROUND(E130*J130,2)</f>
        <v>564.53</v>
      </c>
      <c r="L130" s="162">
        <v>21</v>
      </c>
      <c r="M130" s="162">
        <f>G130*(1+L130/100)</f>
        <v>0</v>
      </c>
      <c r="N130" s="162">
        <v>0</v>
      </c>
      <c r="O130" s="162">
        <f>ROUND(E130*N130,2)</f>
        <v>0</v>
      </c>
      <c r="P130" s="162">
        <v>0.036</v>
      </c>
      <c r="Q130" s="163">
        <f>ROUND(E130*P130,2)</f>
        <v>0.27</v>
      </c>
      <c r="R130" s="149"/>
      <c r="S130" s="149" t="s">
        <v>95</v>
      </c>
      <c r="T130" s="149" t="s">
        <v>95</v>
      </c>
      <c r="U130" s="149">
        <v>0.162</v>
      </c>
      <c r="V130" s="149">
        <f>ROUND(E130*U130,2)</f>
        <v>1.22</v>
      </c>
      <c r="W130" s="149"/>
      <c r="X130" s="149" t="s">
        <v>96</v>
      </c>
      <c r="Y130" s="183" t="s">
        <v>221</v>
      </c>
      <c r="Z130" s="183" t="s">
        <v>221</v>
      </c>
      <c r="AA130" s="144"/>
      <c r="AB130" s="144"/>
      <c r="AC130" s="144"/>
      <c r="AD130" s="144"/>
      <c r="AE130" s="144"/>
      <c r="AF130" s="144"/>
      <c r="AG130" s="144" t="s">
        <v>97</v>
      </c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144"/>
      <c r="AV130" s="144"/>
      <c r="AW130" s="144"/>
      <c r="AX130" s="144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</row>
    <row r="131" spans="1:60" ht="12.75" outlineLevel="1">
      <c r="A131" s="147"/>
      <c r="B131" s="148"/>
      <c r="C131" s="175" t="s">
        <v>344</v>
      </c>
      <c r="D131" s="150"/>
      <c r="E131" s="151">
        <f>2.3*1.2*2+2</f>
        <v>7.52</v>
      </c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4"/>
      <c r="Z131" s="144"/>
      <c r="AA131" s="144"/>
      <c r="AB131" s="144"/>
      <c r="AC131" s="144"/>
      <c r="AD131" s="144"/>
      <c r="AE131" s="144"/>
      <c r="AF131" s="144"/>
      <c r="AG131" s="144" t="s">
        <v>98</v>
      </c>
      <c r="AH131" s="144">
        <v>0</v>
      </c>
      <c r="AI131" s="144"/>
      <c r="AJ131" s="144"/>
      <c r="AK131" s="144"/>
      <c r="AL131" s="144"/>
      <c r="AM131" s="144"/>
      <c r="AN131" s="144"/>
      <c r="AO131" s="144"/>
      <c r="AP131" s="144"/>
      <c r="AQ131" s="144"/>
      <c r="AR131" s="144"/>
      <c r="AS131" s="144"/>
      <c r="AT131" s="144"/>
      <c r="AU131" s="144"/>
      <c r="AV131" s="144"/>
      <c r="AW131" s="144"/>
      <c r="AX131" s="144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</row>
    <row r="132" spans="1:60" ht="12.75" outlineLevel="1">
      <c r="A132" s="158">
        <v>42</v>
      </c>
      <c r="B132" s="159" t="s">
        <v>161</v>
      </c>
      <c r="C132" s="171" t="s">
        <v>162</v>
      </c>
      <c r="D132" s="160" t="s">
        <v>100</v>
      </c>
      <c r="E132" s="161">
        <f>SUM(E133:E133)</f>
        <v>2.32</v>
      </c>
      <c r="F132" s="176">
        <v>0</v>
      </c>
      <c r="G132" s="162">
        <f>ROUND(E132*F132,2)</f>
        <v>0</v>
      </c>
      <c r="H132" s="162">
        <v>230.43</v>
      </c>
      <c r="I132" s="162">
        <f>ROUND(E132*H132,2)</f>
        <v>534.6</v>
      </c>
      <c r="J132" s="162">
        <v>75.07</v>
      </c>
      <c r="K132" s="162">
        <f>ROUND(E132*J132,2)</f>
        <v>174.16</v>
      </c>
      <c r="L132" s="162">
        <v>21</v>
      </c>
      <c r="M132" s="162">
        <f>G132*(1+L132/100)</f>
        <v>0</v>
      </c>
      <c r="N132" s="162">
        <v>0</v>
      </c>
      <c r="O132" s="162">
        <f>ROUND(E132*N132,2)</f>
        <v>0</v>
      </c>
      <c r="P132" s="162">
        <v>0.026</v>
      </c>
      <c r="Q132" s="163">
        <f>ROUND(E132*P132,2)</f>
        <v>0.06</v>
      </c>
      <c r="R132" s="149"/>
      <c r="S132" s="149" t="s">
        <v>95</v>
      </c>
      <c r="T132" s="149" t="s">
        <v>95</v>
      </c>
      <c r="U132" s="149">
        <v>0.162</v>
      </c>
      <c r="V132" s="149">
        <f>ROUND(E132*U132,2)</f>
        <v>0.38</v>
      </c>
      <c r="W132" s="149"/>
      <c r="X132" s="149" t="s">
        <v>96</v>
      </c>
      <c r="Y132" s="183" t="s">
        <v>221</v>
      </c>
      <c r="Z132" s="183" t="s">
        <v>221</v>
      </c>
      <c r="AA132" s="144"/>
      <c r="AB132" s="144"/>
      <c r="AC132" s="144"/>
      <c r="AD132" s="144"/>
      <c r="AE132" s="144"/>
      <c r="AF132" s="144"/>
      <c r="AG132" s="144" t="s">
        <v>97</v>
      </c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4"/>
      <c r="AT132" s="144"/>
      <c r="AU132" s="144"/>
      <c r="AV132" s="144"/>
      <c r="AW132" s="144"/>
      <c r="AX132" s="144"/>
      <c r="AY132" s="144"/>
      <c r="AZ132" s="144"/>
      <c r="BA132" s="144"/>
      <c r="BB132" s="144"/>
      <c r="BC132" s="144"/>
      <c r="BD132" s="144"/>
      <c r="BE132" s="144"/>
      <c r="BF132" s="144"/>
      <c r="BG132" s="144"/>
      <c r="BH132" s="144"/>
    </row>
    <row r="133" spans="1:60" ht="12.75" customHeight="1" outlineLevel="1">
      <c r="A133" s="147"/>
      <c r="B133" s="148"/>
      <c r="C133" s="175" t="s">
        <v>345</v>
      </c>
      <c r="D133" s="150"/>
      <c r="E133" s="151">
        <f>(2.3+1.2+2.3)*0.4</f>
        <v>2.32</v>
      </c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4"/>
      <c r="Z133" s="144"/>
      <c r="AA133" s="144"/>
      <c r="AB133" s="144"/>
      <c r="AC133" s="144"/>
      <c r="AD133" s="144"/>
      <c r="AE133" s="144"/>
      <c r="AF133" s="144"/>
      <c r="AG133" s="144" t="s">
        <v>98</v>
      </c>
      <c r="AH133" s="144">
        <v>0</v>
      </c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4"/>
      <c r="AV133" s="144"/>
      <c r="AW133" s="144"/>
      <c r="AX133" s="144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</row>
    <row r="134" spans="1:60" ht="13.5" customHeight="1" outlineLevel="1">
      <c r="A134" s="158">
        <v>43</v>
      </c>
      <c r="B134" s="159" t="s">
        <v>134</v>
      </c>
      <c r="C134" s="171" t="s">
        <v>135</v>
      </c>
      <c r="D134" s="160" t="s">
        <v>103</v>
      </c>
      <c r="E134" s="161">
        <f>SUM(E135:E135)</f>
        <v>16.5</v>
      </c>
      <c r="F134" s="176">
        <v>0</v>
      </c>
      <c r="G134" s="162">
        <f>ROUND(E134*F134,2)</f>
        <v>0</v>
      </c>
      <c r="H134" s="162">
        <v>0</v>
      </c>
      <c r="I134" s="162">
        <f>ROUND(E134*H134,2)</f>
        <v>0</v>
      </c>
      <c r="J134" s="162">
        <v>3065</v>
      </c>
      <c r="K134" s="162">
        <f>ROUND(E134*J134,2)</f>
        <v>50572.5</v>
      </c>
      <c r="L134" s="162">
        <v>21</v>
      </c>
      <c r="M134" s="162">
        <f>G134*(1+L134/100)</f>
        <v>0</v>
      </c>
      <c r="N134" s="162">
        <v>0</v>
      </c>
      <c r="O134" s="162">
        <f>ROUND(E134*N134,2)</f>
        <v>0</v>
      </c>
      <c r="P134" s="162">
        <v>0.002</v>
      </c>
      <c r="Q134" s="163">
        <f>ROUND(E134*P134,2)</f>
        <v>0.03</v>
      </c>
      <c r="R134" s="149"/>
      <c r="S134" s="149" t="s">
        <v>95</v>
      </c>
      <c r="T134" s="149" t="s">
        <v>95</v>
      </c>
      <c r="U134" s="149">
        <v>3.318</v>
      </c>
      <c r="V134" s="149">
        <f>ROUND(E134*U134,2)</f>
        <v>54.75</v>
      </c>
      <c r="W134" s="149"/>
      <c r="X134" s="149" t="s">
        <v>96</v>
      </c>
      <c r="Y134" s="183" t="s">
        <v>221</v>
      </c>
      <c r="Z134" s="183" t="s">
        <v>221</v>
      </c>
      <c r="AA134" s="144"/>
      <c r="AB134" s="144"/>
      <c r="AC134" s="144"/>
      <c r="AD134" s="144"/>
      <c r="AE134" s="144"/>
      <c r="AF134" s="144"/>
      <c r="AG134" s="144" t="s">
        <v>97</v>
      </c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4"/>
      <c r="AV134" s="144"/>
      <c r="AW134" s="144"/>
      <c r="AX134" s="144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</row>
    <row r="135" spans="1:60" ht="12.75" customHeight="1" outlineLevel="1">
      <c r="A135" s="147"/>
      <c r="B135" s="148"/>
      <c r="C135" s="175" t="s">
        <v>349</v>
      </c>
      <c r="D135" s="150"/>
      <c r="E135" s="151">
        <f>4.5+2.5+3+2.5+4</f>
        <v>16.5</v>
      </c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4"/>
      <c r="Z135" s="144"/>
      <c r="AA135" s="144"/>
      <c r="AB135" s="144"/>
      <c r="AC135" s="144"/>
      <c r="AD135" s="144"/>
      <c r="AE135" s="144"/>
      <c r="AF135" s="144"/>
      <c r="AG135" s="144" t="s">
        <v>98</v>
      </c>
      <c r="AH135" s="144">
        <v>0</v>
      </c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4"/>
      <c r="AV135" s="144"/>
      <c r="AW135" s="144"/>
      <c r="AX135" s="144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</row>
    <row r="136" spans="1:33" ht="12.75">
      <c r="A136" s="153" t="s">
        <v>92</v>
      </c>
      <c r="B136" s="154" t="s">
        <v>59</v>
      </c>
      <c r="C136" s="170" t="s">
        <v>60</v>
      </c>
      <c r="D136" s="155"/>
      <c r="E136" s="156"/>
      <c r="F136" s="157"/>
      <c r="G136" s="157">
        <f>SUMIF(AG137:AG137,"&lt;&gt;NOR",G137:G137)</f>
        <v>0</v>
      </c>
      <c r="H136" s="157"/>
      <c r="I136" s="157">
        <f>SUM(I137:I137)</f>
        <v>0</v>
      </c>
      <c r="J136" s="157"/>
      <c r="K136" s="157">
        <f>SUM(K137:K137)</f>
        <v>3271.03</v>
      </c>
      <c r="L136" s="157"/>
      <c r="M136" s="157">
        <f>SUM(M137:M137)</f>
        <v>0</v>
      </c>
      <c r="N136" s="157"/>
      <c r="O136" s="157">
        <f>SUM(O137:O137)</f>
        <v>0</v>
      </c>
      <c r="P136" s="157"/>
      <c r="Q136" s="178">
        <f>SUM(Q137:Q137)</f>
        <v>0</v>
      </c>
      <c r="R136" s="152"/>
      <c r="S136" s="152"/>
      <c r="T136" s="152"/>
      <c r="U136" s="152"/>
      <c r="V136" s="152">
        <f>SUM(V137:V137)</f>
        <v>3.46</v>
      </c>
      <c r="W136" s="152"/>
      <c r="X136" s="152"/>
      <c r="Y136" s="178"/>
      <c r="Z136" s="184"/>
      <c r="AG136" t="s">
        <v>93</v>
      </c>
    </row>
    <row r="137" spans="1:60" ht="13.5" customHeight="1" outlineLevel="1">
      <c r="A137" s="164">
        <v>44</v>
      </c>
      <c r="B137" s="165" t="s">
        <v>177</v>
      </c>
      <c r="C137" s="173" t="s">
        <v>178</v>
      </c>
      <c r="D137" s="166" t="s">
        <v>101</v>
      </c>
      <c r="E137" s="167">
        <f>O8+O31+O64+O100+O95+O103+O115</f>
        <v>11.260000000000002</v>
      </c>
      <c r="F137" s="177">
        <v>0</v>
      </c>
      <c r="G137" s="168">
        <f>ROUND(E137*F137,2)</f>
        <v>0</v>
      </c>
      <c r="H137" s="168">
        <v>0</v>
      </c>
      <c r="I137" s="168">
        <f>ROUND(E137*H137,2)</f>
        <v>0</v>
      </c>
      <c r="J137" s="168">
        <v>290.5</v>
      </c>
      <c r="K137" s="168">
        <f>ROUND(E137*J137,2)</f>
        <v>3271.03</v>
      </c>
      <c r="L137" s="168">
        <v>21</v>
      </c>
      <c r="M137" s="168">
        <f>G137*(1+L137/100)</f>
        <v>0</v>
      </c>
      <c r="N137" s="168">
        <v>0</v>
      </c>
      <c r="O137" s="168">
        <f>ROUND(E137*N137,2)</f>
        <v>0</v>
      </c>
      <c r="P137" s="168">
        <v>0</v>
      </c>
      <c r="Q137" s="169">
        <f>ROUND(E137*P137,2)</f>
        <v>0</v>
      </c>
      <c r="R137" s="149"/>
      <c r="S137" s="149" t="s">
        <v>95</v>
      </c>
      <c r="T137" s="149" t="s">
        <v>95</v>
      </c>
      <c r="U137" s="149">
        <v>0.307</v>
      </c>
      <c r="V137" s="149">
        <f>ROUND(E137*U137,2)</f>
        <v>3.46</v>
      </c>
      <c r="W137" s="149"/>
      <c r="X137" s="149" t="s">
        <v>109</v>
      </c>
      <c r="Y137" s="183" t="s">
        <v>221</v>
      </c>
      <c r="Z137" s="183" t="s">
        <v>221</v>
      </c>
      <c r="AA137" s="144"/>
      <c r="AB137" s="144"/>
      <c r="AC137" s="144"/>
      <c r="AD137" s="144"/>
      <c r="AE137" s="144"/>
      <c r="AF137" s="144"/>
      <c r="AG137" s="144" t="s">
        <v>110</v>
      </c>
      <c r="AH137" s="144"/>
      <c r="AI137" s="144"/>
      <c r="AJ137" s="144"/>
      <c r="AK137" s="144"/>
      <c r="AL137" s="144"/>
      <c r="AM137" s="144"/>
      <c r="AN137" s="144"/>
      <c r="AO137" s="144"/>
      <c r="AP137" s="144"/>
      <c r="AQ137" s="144"/>
      <c r="AR137" s="144"/>
      <c r="AS137" s="144"/>
      <c r="AT137" s="144"/>
      <c r="AU137" s="144"/>
      <c r="AV137" s="144"/>
      <c r="AW137" s="144"/>
      <c r="AX137" s="144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</row>
    <row r="138" spans="1:33" ht="12.75">
      <c r="A138" s="153" t="s">
        <v>92</v>
      </c>
      <c r="B138" s="154" t="s">
        <v>254</v>
      </c>
      <c r="C138" s="170" t="s">
        <v>255</v>
      </c>
      <c r="D138" s="155"/>
      <c r="E138" s="156"/>
      <c r="F138" s="157"/>
      <c r="G138" s="157">
        <f>SUMIF(AG139:AG144,"&lt;&gt;NOR",G139:G144)</f>
        <v>0</v>
      </c>
      <c r="H138" s="157"/>
      <c r="I138" s="157">
        <f>SUM(I153:I196)</f>
        <v>15178.349999999999</v>
      </c>
      <c r="J138" s="157"/>
      <c r="K138" s="157">
        <f>SUM(K153:K196)</f>
        <v>842403.0499999999</v>
      </c>
      <c r="L138" s="157"/>
      <c r="M138" s="157">
        <f>SUM(M153:M196)</f>
        <v>0</v>
      </c>
      <c r="N138" s="157"/>
      <c r="O138" s="157">
        <f>SUM(O139:O143)</f>
        <v>0.02</v>
      </c>
      <c r="P138" s="157"/>
      <c r="Q138" s="178">
        <f>SUM(Q139:Q144)</f>
        <v>0</v>
      </c>
      <c r="R138" s="152"/>
      <c r="S138" s="152"/>
      <c r="T138" s="152"/>
      <c r="U138" s="152"/>
      <c r="V138" s="152">
        <f>SUM(V153:V196)</f>
        <v>296.4</v>
      </c>
      <c r="W138" s="152"/>
      <c r="X138" s="152"/>
      <c r="Y138" s="178"/>
      <c r="Z138" s="184"/>
      <c r="AG138" t="s">
        <v>93</v>
      </c>
    </row>
    <row r="139" spans="1:60" ht="12.75" customHeight="1" outlineLevel="1">
      <c r="A139" s="158">
        <v>45</v>
      </c>
      <c r="B139" s="159" t="s">
        <v>256</v>
      </c>
      <c r="C139" s="171" t="s">
        <v>257</v>
      </c>
      <c r="D139" s="160" t="s">
        <v>100</v>
      </c>
      <c r="E139" s="161">
        <f>SUM(E140:E141)</f>
        <v>3.96</v>
      </c>
      <c r="F139" s="185">
        <v>0</v>
      </c>
      <c r="G139" s="162">
        <f>ROUND(E139*F139,2)</f>
        <v>0</v>
      </c>
      <c r="H139" s="162">
        <v>302.34</v>
      </c>
      <c r="I139" s="162">
        <f>ROUND(E139*H139,2)</f>
        <v>1197.27</v>
      </c>
      <c r="J139" s="162">
        <v>189.16</v>
      </c>
      <c r="K139" s="162">
        <f>ROUND(E139*J139,2)</f>
        <v>749.07</v>
      </c>
      <c r="L139" s="162">
        <v>21</v>
      </c>
      <c r="M139" s="162">
        <f>G139*(1+L139/100)</f>
        <v>0</v>
      </c>
      <c r="N139" s="162">
        <v>0.004</v>
      </c>
      <c r="O139" s="162">
        <f>ROUND(E139*N139,2)</f>
        <v>0.02</v>
      </c>
      <c r="P139" s="162">
        <v>0</v>
      </c>
      <c r="Q139" s="163">
        <f>ROUND(E139*P139,2)</f>
        <v>0</v>
      </c>
      <c r="R139" s="149"/>
      <c r="S139" s="149" t="s">
        <v>95</v>
      </c>
      <c r="T139" s="149" t="s">
        <v>95</v>
      </c>
      <c r="U139" s="149">
        <v>0.385</v>
      </c>
      <c r="V139" s="149">
        <f>ROUND(E139*U139,2)</f>
        <v>1.52</v>
      </c>
      <c r="W139" s="149"/>
      <c r="X139" s="149" t="s">
        <v>96</v>
      </c>
      <c r="Y139" s="183" t="s">
        <v>221</v>
      </c>
      <c r="Z139" s="183" t="s">
        <v>221</v>
      </c>
      <c r="AA139" s="197"/>
      <c r="AB139" s="144"/>
      <c r="AC139" s="144"/>
      <c r="AD139" s="144"/>
      <c r="AE139" s="144"/>
      <c r="AF139" s="144"/>
      <c r="AG139" s="144" t="s">
        <v>97</v>
      </c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4"/>
      <c r="AR139" s="144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</row>
    <row r="140" spans="1:60" ht="12.75" outlineLevel="1">
      <c r="A140" s="147"/>
      <c r="B140" s="148"/>
      <c r="C140" s="257" t="s">
        <v>373</v>
      </c>
      <c r="D140" s="258"/>
      <c r="E140" s="258"/>
      <c r="F140" s="258"/>
      <c r="G140" s="258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4"/>
      <c r="Z140" s="144"/>
      <c r="AA140" s="144"/>
      <c r="AB140" s="144"/>
      <c r="AC140" s="144"/>
      <c r="AD140" s="144"/>
      <c r="AE140" s="144"/>
      <c r="AF140" s="144"/>
      <c r="AG140" s="144" t="s">
        <v>99</v>
      </c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4"/>
      <c r="AT140" s="144"/>
      <c r="AU140" s="144"/>
      <c r="AV140" s="144"/>
      <c r="AW140" s="144"/>
      <c r="AX140" s="144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</row>
    <row r="141" spans="1:60" ht="12.75" outlineLevel="1">
      <c r="A141" s="147"/>
      <c r="B141" s="148"/>
      <c r="C141" s="175" t="s">
        <v>350</v>
      </c>
      <c r="D141" s="150"/>
      <c r="E141" s="151">
        <f>3*1.2*1.1</f>
        <v>3.96</v>
      </c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4"/>
      <c r="Z141" s="144"/>
      <c r="AA141" s="144"/>
      <c r="AB141" s="144"/>
      <c r="AC141" s="144"/>
      <c r="AD141" s="144"/>
      <c r="AE141" s="144"/>
      <c r="AF141" s="144"/>
      <c r="AG141" s="144" t="s">
        <v>98</v>
      </c>
      <c r="AH141" s="144">
        <v>0</v>
      </c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</row>
    <row r="142" spans="1:60" ht="13.5" customHeight="1" outlineLevel="1">
      <c r="A142" s="158">
        <v>46</v>
      </c>
      <c r="B142" s="159" t="s">
        <v>258</v>
      </c>
      <c r="C142" s="171" t="s">
        <v>259</v>
      </c>
      <c r="D142" s="160" t="s">
        <v>100</v>
      </c>
      <c r="E142" s="161">
        <f>SUM(E143:E143)</f>
        <v>3.96</v>
      </c>
      <c r="F142" s="185">
        <v>0</v>
      </c>
      <c r="G142" s="162">
        <f>ROUND(E142*F142,2)</f>
        <v>0</v>
      </c>
      <c r="H142" s="162">
        <v>13.07</v>
      </c>
      <c r="I142" s="162">
        <f>ROUND(E142*H142,2)</f>
        <v>51.76</v>
      </c>
      <c r="J142" s="162">
        <v>42.63</v>
      </c>
      <c r="K142" s="162">
        <f>ROUND(E142*J142,2)</f>
        <v>168.81</v>
      </c>
      <c r="L142" s="162">
        <v>21</v>
      </c>
      <c r="M142" s="162">
        <f>G142*(1+L142/100)</f>
        <v>0</v>
      </c>
      <c r="N142" s="162">
        <v>0.0004</v>
      </c>
      <c r="O142" s="162">
        <f>ROUND(E142*N142,2)</f>
        <v>0</v>
      </c>
      <c r="P142" s="162">
        <v>0</v>
      </c>
      <c r="Q142" s="163">
        <f>ROUND(E142*P142,2)</f>
        <v>0</v>
      </c>
      <c r="R142" s="149"/>
      <c r="S142" s="149" t="s">
        <v>95</v>
      </c>
      <c r="T142" s="149" t="s">
        <v>95</v>
      </c>
      <c r="U142" s="149">
        <v>0.095</v>
      </c>
      <c r="V142" s="149">
        <f>ROUND(E142*U142,2)</f>
        <v>0.38</v>
      </c>
      <c r="W142" s="149"/>
      <c r="X142" s="149" t="s">
        <v>96</v>
      </c>
      <c r="Y142" s="183" t="s">
        <v>221</v>
      </c>
      <c r="Z142" s="183" t="s">
        <v>221</v>
      </c>
      <c r="AA142" s="144"/>
      <c r="AB142" s="144"/>
      <c r="AC142" s="144"/>
      <c r="AD142" s="144"/>
      <c r="AE142" s="144"/>
      <c r="AF142" s="144"/>
      <c r="AG142" s="144" t="s">
        <v>97</v>
      </c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4"/>
      <c r="AT142" s="144"/>
      <c r="AU142" s="144"/>
      <c r="AV142" s="144"/>
      <c r="AW142" s="144"/>
      <c r="AX142" s="144"/>
      <c r="AY142" s="144"/>
      <c r="AZ142" s="144"/>
      <c r="BA142" s="144"/>
      <c r="BB142" s="144"/>
      <c r="BC142" s="144"/>
      <c r="BD142" s="144"/>
      <c r="BE142" s="144"/>
      <c r="BF142" s="144"/>
      <c r="BG142" s="144"/>
      <c r="BH142" s="144"/>
    </row>
    <row r="143" spans="1:60" ht="12.75" outlineLevel="1">
      <c r="A143" s="147"/>
      <c r="B143" s="148"/>
      <c r="C143" s="175" t="s">
        <v>350</v>
      </c>
      <c r="D143" s="150"/>
      <c r="E143" s="151">
        <f>3*1.2*1.1</f>
        <v>3.96</v>
      </c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4"/>
      <c r="Z143" s="144"/>
      <c r="AA143" s="144"/>
      <c r="AB143" s="144"/>
      <c r="AC143" s="144"/>
      <c r="AD143" s="144"/>
      <c r="AE143" s="144"/>
      <c r="AF143" s="144"/>
      <c r="AG143" s="144" t="s">
        <v>98</v>
      </c>
      <c r="AH143" s="144">
        <v>0</v>
      </c>
      <c r="AI143" s="144"/>
      <c r="AJ143" s="144"/>
      <c r="AK143" s="144"/>
      <c r="AL143" s="144"/>
      <c r="AM143" s="144"/>
      <c r="AN143" s="144"/>
      <c r="AO143" s="144"/>
      <c r="AP143" s="144"/>
      <c r="AQ143" s="144"/>
      <c r="AR143" s="144"/>
      <c r="AS143" s="144"/>
      <c r="AT143" s="144"/>
      <c r="AU143" s="144"/>
      <c r="AV143" s="144"/>
      <c r="AW143" s="144"/>
      <c r="AX143" s="144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</row>
    <row r="144" spans="1:60" ht="12.75" outlineLevel="1">
      <c r="A144" s="164">
        <v>47</v>
      </c>
      <c r="B144" s="165" t="s">
        <v>260</v>
      </c>
      <c r="C144" s="173" t="s">
        <v>261</v>
      </c>
      <c r="D144" s="166" t="s">
        <v>101</v>
      </c>
      <c r="E144" s="167">
        <f>O138</f>
        <v>0.02</v>
      </c>
      <c r="F144" s="177">
        <v>0</v>
      </c>
      <c r="G144" s="168">
        <f>ROUND(E144*F144,2)</f>
        <v>0</v>
      </c>
      <c r="H144" s="168">
        <v>0</v>
      </c>
      <c r="I144" s="168">
        <f>ROUND(E144*H144,2)</f>
        <v>0</v>
      </c>
      <c r="J144" s="168">
        <v>1007</v>
      </c>
      <c r="K144" s="168">
        <f>ROUND(E144*J144,2)</f>
        <v>20.14</v>
      </c>
      <c r="L144" s="168">
        <v>21</v>
      </c>
      <c r="M144" s="168">
        <f>G144*(1+L144/100)</f>
        <v>0</v>
      </c>
      <c r="N144" s="168">
        <v>0</v>
      </c>
      <c r="O144" s="168">
        <f>ROUND(E144*N144,2)</f>
        <v>0</v>
      </c>
      <c r="P144" s="168">
        <v>0</v>
      </c>
      <c r="Q144" s="169">
        <f>ROUND(E144*P144,2)</f>
        <v>0</v>
      </c>
      <c r="R144" s="149"/>
      <c r="S144" s="149" t="s">
        <v>95</v>
      </c>
      <c r="T144" s="149" t="s">
        <v>95</v>
      </c>
      <c r="U144" s="149">
        <v>1.598</v>
      </c>
      <c r="V144" s="149">
        <f>ROUND(E144*U144,2)</f>
        <v>0.03</v>
      </c>
      <c r="W144" s="149"/>
      <c r="X144" s="149" t="s">
        <v>109</v>
      </c>
      <c r="Y144" s="183" t="s">
        <v>221</v>
      </c>
      <c r="Z144" s="183" t="s">
        <v>221</v>
      </c>
      <c r="AA144" s="144"/>
      <c r="AB144" s="144"/>
      <c r="AC144" s="144"/>
      <c r="AD144" s="144"/>
      <c r="AE144" s="144"/>
      <c r="AF144" s="144"/>
      <c r="AG144" s="144" t="s">
        <v>110</v>
      </c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4"/>
      <c r="AT144" s="144"/>
      <c r="AU144" s="144"/>
      <c r="AV144" s="144"/>
      <c r="AW144" s="144"/>
      <c r="AX144" s="144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</row>
    <row r="145" spans="1:33" ht="12.75">
      <c r="A145" s="153" t="s">
        <v>92</v>
      </c>
      <c r="B145" s="154" t="s">
        <v>174</v>
      </c>
      <c r="C145" s="170" t="s">
        <v>175</v>
      </c>
      <c r="D145" s="155"/>
      <c r="E145" s="156"/>
      <c r="F145" s="157"/>
      <c r="G145" s="157">
        <f>SUMIF(AG146:AG153,"&lt;&gt;NOR",G146:G153)</f>
        <v>0</v>
      </c>
      <c r="H145" s="157"/>
      <c r="I145" s="157">
        <f>SUM(I146:I147)</f>
        <v>0</v>
      </c>
      <c r="J145" s="157"/>
      <c r="K145" s="157">
        <f>SUM(K146:K147)</f>
        <v>800</v>
      </c>
      <c r="L145" s="157"/>
      <c r="M145" s="157">
        <f>SUM(M146:M147)</f>
        <v>0</v>
      </c>
      <c r="N145" s="157"/>
      <c r="O145" s="157">
        <f>SUM(O146:O153)</f>
        <v>0.30000000000000004</v>
      </c>
      <c r="P145" s="157"/>
      <c r="Q145" s="178">
        <f>SUM(Q146:Q153)</f>
        <v>0</v>
      </c>
      <c r="R145" s="152"/>
      <c r="S145" s="152"/>
      <c r="T145" s="152"/>
      <c r="U145" s="152"/>
      <c r="V145" s="152">
        <f>SUM(V146:V147)</f>
        <v>0</v>
      </c>
      <c r="W145" s="152"/>
      <c r="X145" s="152"/>
      <c r="Y145" s="178"/>
      <c r="Z145" s="184"/>
      <c r="AG145" t="s">
        <v>93</v>
      </c>
    </row>
    <row r="146" spans="1:60" ht="12.75" customHeight="1" outlineLevel="1">
      <c r="A146" s="158">
        <v>48</v>
      </c>
      <c r="B146" s="159" t="s">
        <v>176</v>
      </c>
      <c r="C146" s="171" t="s">
        <v>188</v>
      </c>
      <c r="D146" s="160" t="s">
        <v>190</v>
      </c>
      <c r="E146" s="161">
        <v>1</v>
      </c>
      <c r="F146" s="185">
        <v>0</v>
      </c>
      <c r="G146" s="162">
        <f>ROUND(E146*F146,2)</f>
        <v>0</v>
      </c>
      <c r="H146" s="162">
        <v>0</v>
      </c>
      <c r="I146" s="162">
        <f>ROUND(E146*H146,2)</f>
        <v>0</v>
      </c>
      <c r="J146" s="162">
        <v>800</v>
      </c>
      <c r="K146" s="162">
        <f>ROUND(E146*J146,2)</f>
        <v>800</v>
      </c>
      <c r="L146" s="162">
        <v>21</v>
      </c>
      <c r="M146" s="162">
        <f>G146*(1+L146/100)</f>
        <v>0</v>
      </c>
      <c r="N146" s="162">
        <v>0.04</v>
      </c>
      <c r="O146" s="162">
        <f>ROUND(E146*N146,2)</f>
        <v>0.04</v>
      </c>
      <c r="P146" s="162">
        <v>0</v>
      </c>
      <c r="Q146" s="163">
        <f>ROUND(E146*P146,2)</f>
        <v>0</v>
      </c>
      <c r="R146" s="149"/>
      <c r="S146" s="149" t="s">
        <v>105</v>
      </c>
      <c r="T146" s="149" t="s">
        <v>102</v>
      </c>
      <c r="U146" s="149">
        <v>0</v>
      </c>
      <c r="V146" s="149">
        <f>ROUND(E146*U146,2)</f>
        <v>0</v>
      </c>
      <c r="W146" s="149"/>
      <c r="X146" s="149" t="s">
        <v>96</v>
      </c>
      <c r="Y146" s="183" t="s">
        <v>105</v>
      </c>
      <c r="Z146" s="183" t="s">
        <v>102</v>
      </c>
      <c r="AA146" s="144"/>
      <c r="AB146" s="144"/>
      <c r="AC146" s="144"/>
      <c r="AD146" s="144"/>
      <c r="AE146" s="144"/>
      <c r="AF146" s="144"/>
      <c r="AG146" s="144" t="s">
        <v>97</v>
      </c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4"/>
      <c r="AT146" s="144"/>
      <c r="AU146" s="144"/>
      <c r="AV146" s="144"/>
      <c r="AW146" s="144"/>
      <c r="AX146" s="144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</row>
    <row r="147" spans="1:60" ht="12.75" outlineLevel="1">
      <c r="A147" s="147"/>
      <c r="B147" s="148"/>
      <c r="C147" s="257" t="s">
        <v>351</v>
      </c>
      <c r="D147" s="258"/>
      <c r="E147" s="258"/>
      <c r="F147" s="258"/>
      <c r="G147" s="258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4"/>
      <c r="Z147" s="144"/>
      <c r="AA147" s="144"/>
      <c r="AB147" s="144"/>
      <c r="AC147" s="144"/>
      <c r="AD147" s="144"/>
      <c r="AE147" s="144"/>
      <c r="AF147" s="144"/>
      <c r="AG147" s="144" t="s">
        <v>98</v>
      </c>
      <c r="AH147" s="144">
        <v>0</v>
      </c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</row>
    <row r="148" spans="1:60" ht="36" customHeight="1" outlineLevel="1">
      <c r="A148" s="158">
        <v>49</v>
      </c>
      <c r="B148" s="159" t="s">
        <v>248</v>
      </c>
      <c r="C148" s="171" t="s">
        <v>369</v>
      </c>
      <c r="D148" s="160" t="s">
        <v>190</v>
      </c>
      <c r="E148" s="161">
        <v>1</v>
      </c>
      <c r="F148" s="185">
        <v>0</v>
      </c>
      <c r="G148" s="162">
        <f>ROUND(E148*F148,2)</f>
        <v>0</v>
      </c>
      <c r="H148" s="162">
        <v>0</v>
      </c>
      <c r="I148" s="162">
        <f>ROUND(E148*H148,2)</f>
        <v>0</v>
      </c>
      <c r="J148" s="162">
        <v>800</v>
      </c>
      <c r="K148" s="162">
        <f>ROUND(E148*J148,2)</f>
        <v>800</v>
      </c>
      <c r="L148" s="162">
        <v>21</v>
      </c>
      <c r="M148" s="162">
        <f>G148*(1+L148/100)</f>
        <v>0</v>
      </c>
      <c r="N148" s="162">
        <v>0.085</v>
      </c>
      <c r="O148" s="162">
        <f>ROUND(E148*N148,2)</f>
        <v>0.09</v>
      </c>
      <c r="P148" s="162">
        <v>0</v>
      </c>
      <c r="Q148" s="163">
        <f>ROUND(E148*P148,2)</f>
        <v>0</v>
      </c>
      <c r="R148" s="149"/>
      <c r="S148" s="149" t="s">
        <v>105</v>
      </c>
      <c r="T148" s="149" t="s">
        <v>102</v>
      </c>
      <c r="U148" s="149">
        <v>0</v>
      </c>
      <c r="V148" s="149">
        <f>ROUND(E148*U148,2)</f>
        <v>0</v>
      </c>
      <c r="W148" s="149"/>
      <c r="X148" s="149" t="s">
        <v>96</v>
      </c>
      <c r="Y148" s="183" t="s">
        <v>105</v>
      </c>
      <c r="Z148" s="183" t="s">
        <v>102</v>
      </c>
      <c r="AA148" s="144"/>
      <c r="AB148" s="144"/>
      <c r="AC148" s="144"/>
      <c r="AD148" s="144"/>
      <c r="AE148" s="144"/>
      <c r="AF148" s="144"/>
      <c r="AG148" s="144" t="s">
        <v>97</v>
      </c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4"/>
      <c r="AT148" s="144"/>
      <c r="AU148" s="144"/>
      <c r="AV148" s="144"/>
      <c r="AW148" s="144"/>
      <c r="AX148" s="144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</row>
    <row r="149" spans="1:60" ht="12.75" outlineLevel="1">
      <c r="A149" s="147"/>
      <c r="B149" s="148"/>
      <c r="C149" s="257" t="s">
        <v>353</v>
      </c>
      <c r="D149" s="258"/>
      <c r="E149" s="258"/>
      <c r="F149" s="258"/>
      <c r="G149" s="258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4"/>
      <c r="Z149" s="144"/>
      <c r="AA149" s="144"/>
      <c r="AB149" s="144"/>
      <c r="AC149" s="144"/>
      <c r="AD149" s="144"/>
      <c r="AE149" s="144"/>
      <c r="AF149" s="144"/>
      <c r="AG149" s="144" t="s">
        <v>98</v>
      </c>
      <c r="AH149" s="144">
        <v>0</v>
      </c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</row>
    <row r="150" spans="1:60" ht="36" customHeight="1" outlineLevel="1">
      <c r="A150" s="158">
        <v>50</v>
      </c>
      <c r="B150" s="159" t="s">
        <v>352</v>
      </c>
      <c r="C150" s="171" t="s">
        <v>370</v>
      </c>
      <c r="D150" s="160" t="s">
        <v>190</v>
      </c>
      <c r="E150" s="161">
        <v>1</v>
      </c>
      <c r="F150" s="185">
        <v>0</v>
      </c>
      <c r="G150" s="162">
        <f>ROUND(E150*F150,2)</f>
        <v>0</v>
      </c>
      <c r="H150" s="162">
        <v>0</v>
      </c>
      <c r="I150" s="162">
        <f>ROUND(E150*H150,2)</f>
        <v>0</v>
      </c>
      <c r="J150" s="162">
        <v>800</v>
      </c>
      <c r="K150" s="162">
        <f>ROUND(E150*J150,2)</f>
        <v>800</v>
      </c>
      <c r="L150" s="162">
        <v>21</v>
      </c>
      <c r="M150" s="162">
        <f>G150*(1+L150/100)</f>
        <v>0</v>
      </c>
      <c r="N150" s="162">
        <v>0.135</v>
      </c>
      <c r="O150" s="162">
        <f>ROUND(E150*N150,2)</f>
        <v>0.14</v>
      </c>
      <c r="P150" s="162">
        <v>0</v>
      </c>
      <c r="Q150" s="163">
        <f>ROUND(E150*P150,2)</f>
        <v>0</v>
      </c>
      <c r="R150" s="149"/>
      <c r="S150" s="149" t="s">
        <v>105</v>
      </c>
      <c r="T150" s="149" t="s">
        <v>102</v>
      </c>
      <c r="U150" s="149">
        <v>0</v>
      </c>
      <c r="V150" s="149">
        <f>ROUND(E150*U150,2)</f>
        <v>0</v>
      </c>
      <c r="W150" s="149"/>
      <c r="X150" s="149" t="s">
        <v>96</v>
      </c>
      <c r="Y150" s="183" t="s">
        <v>105</v>
      </c>
      <c r="Z150" s="183" t="s">
        <v>102</v>
      </c>
      <c r="AA150" s="144"/>
      <c r="AB150" s="144"/>
      <c r="AC150" s="144"/>
      <c r="AD150" s="144"/>
      <c r="AE150" s="144"/>
      <c r="AF150" s="144"/>
      <c r="AG150" s="144" t="s">
        <v>97</v>
      </c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</row>
    <row r="151" spans="1:60" ht="12.75" outlineLevel="1">
      <c r="A151" s="147"/>
      <c r="B151" s="148"/>
      <c r="C151" s="257" t="s">
        <v>353</v>
      </c>
      <c r="D151" s="258"/>
      <c r="E151" s="258"/>
      <c r="F151" s="258"/>
      <c r="G151" s="258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4"/>
      <c r="Z151" s="144"/>
      <c r="AA151" s="144"/>
      <c r="AB151" s="144"/>
      <c r="AC151" s="144"/>
      <c r="AD151" s="144"/>
      <c r="AE151" s="144"/>
      <c r="AF151" s="144"/>
      <c r="AG151" s="144" t="s">
        <v>98</v>
      </c>
      <c r="AH151" s="144">
        <v>0</v>
      </c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</row>
    <row r="152" spans="1:60" ht="24" customHeight="1" outlineLevel="1">
      <c r="A152" s="158">
        <v>51</v>
      </c>
      <c r="B152" s="159" t="s">
        <v>354</v>
      </c>
      <c r="C152" s="171" t="s">
        <v>355</v>
      </c>
      <c r="D152" s="160" t="s">
        <v>190</v>
      </c>
      <c r="E152" s="161">
        <f>SUM(E153:E153)</f>
        <v>2</v>
      </c>
      <c r="F152" s="185">
        <v>0</v>
      </c>
      <c r="G152" s="162">
        <f>ROUND(E152*F152,2)</f>
        <v>0</v>
      </c>
      <c r="H152" s="162">
        <v>0</v>
      </c>
      <c r="I152" s="162">
        <f>ROUND(E152*H152,2)</f>
        <v>0</v>
      </c>
      <c r="J152" s="162">
        <v>800</v>
      </c>
      <c r="K152" s="162">
        <f>ROUND(E152*J152,2)</f>
        <v>1600</v>
      </c>
      <c r="L152" s="162">
        <v>21</v>
      </c>
      <c r="M152" s="162">
        <f>G152*(1+L152/100)</f>
        <v>0</v>
      </c>
      <c r="N152" s="162">
        <v>0.015</v>
      </c>
      <c r="O152" s="162">
        <f>ROUND(E152*N152,2)</f>
        <v>0.03</v>
      </c>
      <c r="P152" s="162">
        <v>0</v>
      </c>
      <c r="Q152" s="163">
        <f>ROUND(E152*P152,2)</f>
        <v>0</v>
      </c>
      <c r="R152" s="149"/>
      <c r="S152" s="149" t="s">
        <v>105</v>
      </c>
      <c r="T152" s="149" t="s">
        <v>102</v>
      </c>
      <c r="U152" s="149">
        <v>0</v>
      </c>
      <c r="V152" s="149">
        <f>ROUND(E152*U152,2)</f>
        <v>0</v>
      </c>
      <c r="W152" s="149"/>
      <c r="X152" s="149" t="s">
        <v>96</v>
      </c>
      <c r="Y152" s="183" t="s">
        <v>105</v>
      </c>
      <c r="Z152" s="183" t="s">
        <v>102</v>
      </c>
      <c r="AA152" s="144"/>
      <c r="AB152" s="144"/>
      <c r="AC152" s="144"/>
      <c r="AD152" s="144"/>
      <c r="AE152" s="144"/>
      <c r="AF152" s="144"/>
      <c r="AG152" s="144" t="s">
        <v>97</v>
      </c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</row>
    <row r="153" spans="1:60" ht="12.75" outlineLevel="1">
      <c r="A153" s="147"/>
      <c r="B153" s="148"/>
      <c r="C153" s="175" t="s">
        <v>330</v>
      </c>
      <c r="D153" s="150"/>
      <c r="E153" s="151">
        <f>2</f>
        <v>2</v>
      </c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4"/>
      <c r="Z153" s="144"/>
      <c r="AA153" s="144"/>
      <c r="AB153" s="144"/>
      <c r="AC153" s="144"/>
      <c r="AD153" s="144"/>
      <c r="AE153" s="144"/>
      <c r="AF153" s="144"/>
      <c r="AG153" s="144" t="s">
        <v>98</v>
      </c>
      <c r="AH153" s="144">
        <v>0</v>
      </c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</row>
    <row r="154" spans="1:33" ht="12.75">
      <c r="A154" s="153" t="s">
        <v>92</v>
      </c>
      <c r="B154" s="154" t="s">
        <v>147</v>
      </c>
      <c r="C154" s="170" t="s">
        <v>148</v>
      </c>
      <c r="D154" s="155"/>
      <c r="E154" s="156"/>
      <c r="F154" s="157"/>
      <c r="G154" s="157">
        <f>SUMIF(AG155:AG170,"&lt;&gt;NOR",G155:G170)</f>
        <v>0</v>
      </c>
      <c r="H154" s="157"/>
      <c r="I154" s="157">
        <f>SUM(I168:I186)</f>
        <v>7468.079999999999</v>
      </c>
      <c r="J154" s="157"/>
      <c r="K154" s="157">
        <f>SUM(K168:K186)</f>
        <v>63977.00000000001</v>
      </c>
      <c r="L154" s="157"/>
      <c r="M154" s="157">
        <f>SUM(M168:M186)</f>
        <v>0</v>
      </c>
      <c r="N154" s="157"/>
      <c r="O154" s="157">
        <f>SUM(O155:O170)</f>
        <v>0.4</v>
      </c>
      <c r="P154" s="157"/>
      <c r="Q154" s="178">
        <f>SUM(Q155:Q170)</f>
        <v>0.23</v>
      </c>
      <c r="R154" s="152"/>
      <c r="S154" s="152"/>
      <c r="T154" s="152"/>
      <c r="U154" s="152"/>
      <c r="V154" s="152">
        <f>SUM(V168:V186)</f>
        <v>134.21999999999997</v>
      </c>
      <c r="W154" s="152"/>
      <c r="X154" s="152"/>
      <c r="Y154" s="178"/>
      <c r="Z154" s="184"/>
      <c r="AG154" t="s">
        <v>93</v>
      </c>
    </row>
    <row r="155" spans="1:60" ht="13.5" customHeight="1" outlineLevel="1">
      <c r="A155" s="158">
        <v>52</v>
      </c>
      <c r="B155" s="159" t="s">
        <v>263</v>
      </c>
      <c r="C155" s="171" t="s">
        <v>264</v>
      </c>
      <c r="D155" s="160" t="s">
        <v>100</v>
      </c>
      <c r="E155" s="161">
        <f>SUM(E157:E157)</f>
        <v>3.1799999999999997</v>
      </c>
      <c r="F155" s="185">
        <v>0</v>
      </c>
      <c r="G155" s="162">
        <f>ROUND(E155*F155,2)</f>
        <v>0</v>
      </c>
      <c r="H155" s="162">
        <v>0.84</v>
      </c>
      <c r="I155" s="162">
        <f>ROUND(E155*H155,2)</f>
        <v>2.67</v>
      </c>
      <c r="J155" s="162">
        <v>12.46</v>
      </c>
      <c r="K155" s="162">
        <f>ROUND(E155*J155,2)</f>
        <v>39.62</v>
      </c>
      <c r="L155" s="162">
        <v>21</v>
      </c>
      <c r="M155" s="162">
        <f>G155*(1+L155/100)</f>
        <v>0</v>
      </c>
      <c r="N155" s="162">
        <v>0.0008</v>
      </c>
      <c r="O155" s="162">
        <f>ROUND(E155*N155,2)</f>
        <v>0</v>
      </c>
      <c r="P155" s="162">
        <v>0</v>
      </c>
      <c r="Q155" s="163">
        <f>ROUND(E155*P155,2)</f>
        <v>0</v>
      </c>
      <c r="R155" s="149"/>
      <c r="S155" s="149" t="s">
        <v>95</v>
      </c>
      <c r="T155" s="149" t="s">
        <v>95</v>
      </c>
      <c r="U155" s="149">
        <v>0.03248</v>
      </c>
      <c r="V155" s="149">
        <f>ROUND(E155*U155,2)</f>
        <v>0.1</v>
      </c>
      <c r="W155" s="149"/>
      <c r="X155" s="149" t="s">
        <v>96</v>
      </c>
      <c r="Y155" s="183" t="s">
        <v>221</v>
      </c>
      <c r="Z155" s="183" t="s">
        <v>221</v>
      </c>
      <c r="AA155" s="144"/>
      <c r="AB155" s="144"/>
      <c r="AC155" s="144"/>
      <c r="AD155" s="144"/>
      <c r="AE155" s="144"/>
      <c r="AF155" s="144"/>
      <c r="AG155" s="144" t="s">
        <v>97</v>
      </c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4"/>
      <c r="AT155" s="144"/>
      <c r="AU155" s="144"/>
      <c r="AV155" s="144"/>
      <c r="AW155" s="144"/>
      <c r="AX155" s="144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</row>
    <row r="156" spans="1:60" ht="12.75" outlineLevel="1">
      <c r="A156" s="147"/>
      <c r="B156" s="148"/>
      <c r="C156" s="269" t="s">
        <v>262</v>
      </c>
      <c r="D156" s="270"/>
      <c r="E156" s="270"/>
      <c r="F156" s="270"/>
      <c r="G156" s="270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4"/>
      <c r="Z156" s="144"/>
      <c r="AA156" s="144"/>
      <c r="AB156" s="144"/>
      <c r="AC156" s="144"/>
      <c r="AD156" s="144"/>
      <c r="AE156" s="144"/>
      <c r="AF156" s="144"/>
      <c r="AG156" s="144" t="s">
        <v>99</v>
      </c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</row>
    <row r="157" spans="1:60" ht="12.75" outlineLevel="1">
      <c r="A157" s="147"/>
      <c r="B157" s="148"/>
      <c r="C157" s="175" t="s">
        <v>360</v>
      </c>
      <c r="D157" s="150"/>
      <c r="E157" s="151">
        <f>(2+1+2)*0.3+(2+1.6+2)*0.3</f>
        <v>3.1799999999999997</v>
      </c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4"/>
      <c r="Z157" s="144"/>
      <c r="AA157" s="144"/>
      <c r="AB157" s="144"/>
      <c r="AC157" s="144"/>
      <c r="AD157" s="144"/>
      <c r="AE157" s="144"/>
      <c r="AF157" s="144"/>
      <c r="AG157" s="144" t="s">
        <v>98</v>
      </c>
      <c r="AH157" s="144">
        <v>0</v>
      </c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</row>
    <row r="158" spans="1:60" ht="13.5" customHeight="1" outlineLevel="1">
      <c r="A158" s="158">
        <v>53</v>
      </c>
      <c r="B158" s="159" t="s">
        <v>265</v>
      </c>
      <c r="C158" s="171" t="s">
        <v>266</v>
      </c>
      <c r="D158" s="160" t="s">
        <v>100</v>
      </c>
      <c r="E158" s="161">
        <f>SUM(E160:E161)</f>
        <v>5.34</v>
      </c>
      <c r="F158" s="185">
        <v>0</v>
      </c>
      <c r="G158" s="162">
        <f>ROUND(E158*F158,2)</f>
        <v>0</v>
      </c>
      <c r="H158" s="162">
        <v>0.84</v>
      </c>
      <c r="I158" s="162">
        <f>ROUND(E158*H158,2)</f>
        <v>4.49</v>
      </c>
      <c r="J158" s="162">
        <v>12.46</v>
      </c>
      <c r="K158" s="162">
        <f>ROUND(E158*J158,2)</f>
        <v>66.54</v>
      </c>
      <c r="L158" s="162">
        <v>21</v>
      </c>
      <c r="M158" s="162">
        <f>G158*(1+L158/100)</f>
        <v>0</v>
      </c>
      <c r="N158" s="162">
        <v>0.0004</v>
      </c>
      <c r="O158" s="162">
        <f>ROUND(E158*N158,2)</f>
        <v>0</v>
      </c>
      <c r="P158" s="162">
        <v>0</v>
      </c>
      <c r="Q158" s="163">
        <f>ROUND(E158*P158,2)</f>
        <v>0</v>
      </c>
      <c r="R158" s="149"/>
      <c r="S158" s="149" t="s">
        <v>95</v>
      </c>
      <c r="T158" s="149" t="s">
        <v>95</v>
      </c>
      <c r="U158" s="149">
        <v>0.03248</v>
      </c>
      <c r="V158" s="149">
        <f>ROUND(E158*U158,2)</f>
        <v>0.17</v>
      </c>
      <c r="W158" s="149"/>
      <c r="X158" s="149" t="s">
        <v>96</v>
      </c>
      <c r="Y158" s="183" t="s">
        <v>221</v>
      </c>
      <c r="Z158" s="183" t="s">
        <v>221</v>
      </c>
      <c r="AA158" s="144"/>
      <c r="AB158" s="144"/>
      <c r="AC158" s="144"/>
      <c r="AD158" s="144"/>
      <c r="AE158" s="144"/>
      <c r="AF158" s="144"/>
      <c r="AG158" s="144" t="s">
        <v>97</v>
      </c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4"/>
      <c r="AT158" s="144"/>
      <c r="AU158" s="144"/>
      <c r="AV158" s="144"/>
      <c r="AW158" s="144"/>
      <c r="AX158" s="144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</row>
    <row r="159" spans="1:60" ht="12.75" outlineLevel="1">
      <c r="A159" s="147"/>
      <c r="B159" s="148"/>
      <c r="C159" s="269" t="s">
        <v>262</v>
      </c>
      <c r="D159" s="270"/>
      <c r="E159" s="270"/>
      <c r="F159" s="270"/>
      <c r="G159" s="270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4"/>
      <c r="Z159" s="144"/>
      <c r="AA159" s="144"/>
      <c r="AB159" s="144"/>
      <c r="AC159" s="144"/>
      <c r="AD159" s="144"/>
      <c r="AE159" s="144"/>
      <c r="AF159" s="144"/>
      <c r="AG159" s="144" t="s">
        <v>99</v>
      </c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4"/>
      <c r="AT159" s="144"/>
      <c r="AU159" s="144"/>
      <c r="AV159" s="144"/>
      <c r="AW159" s="144"/>
      <c r="AX159" s="144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</row>
    <row r="160" spans="1:60" ht="12.75" outlineLevel="1">
      <c r="A160" s="147"/>
      <c r="B160" s="148"/>
      <c r="C160" s="175" t="s">
        <v>360</v>
      </c>
      <c r="D160" s="150"/>
      <c r="E160" s="151">
        <f>(2+1+2)*0.3+(2+1.6+2)*0.3</f>
        <v>3.1799999999999997</v>
      </c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4"/>
      <c r="Z160" s="144"/>
      <c r="AA160" s="144"/>
      <c r="AB160" s="144"/>
      <c r="AC160" s="144"/>
      <c r="AD160" s="144"/>
      <c r="AE160" s="144"/>
      <c r="AF160" s="144"/>
      <c r="AG160" s="144" t="s">
        <v>98</v>
      </c>
      <c r="AH160" s="144">
        <v>0</v>
      </c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</row>
    <row r="161" spans="1:60" ht="12.75" outlineLevel="1">
      <c r="A161" s="147"/>
      <c r="B161" s="148"/>
      <c r="C161" s="175" t="s">
        <v>361</v>
      </c>
      <c r="D161" s="150"/>
      <c r="E161" s="151">
        <f>0.48*1.5*3</f>
        <v>2.16</v>
      </c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4"/>
      <c r="Z161" s="144"/>
      <c r="AA161" s="144"/>
      <c r="AB161" s="144"/>
      <c r="AC161" s="144"/>
      <c r="AD161" s="144"/>
      <c r="AE161" s="144"/>
      <c r="AF161" s="144"/>
      <c r="AG161" s="144" t="s">
        <v>98</v>
      </c>
      <c r="AH161" s="144">
        <v>0</v>
      </c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</row>
    <row r="162" spans="1:60" ht="13.5" customHeight="1" outlineLevel="1">
      <c r="A162" s="158">
        <v>54</v>
      </c>
      <c r="B162" s="159" t="s">
        <v>362</v>
      </c>
      <c r="C162" s="171" t="s">
        <v>363</v>
      </c>
      <c r="D162" s="160" t="s">
        <v>100</v>
      </c>
      <c r="E162" s="161">
        <f>SUM(E163:E165)</f>
        <v>125.2</v>
      </c>
      <c r="F162" s="185">
        <v>0</v>
      </c>
      <c r="G162" s="162">
        <f>ROUND(E162*F162,2)</f>
        <v>0</v>
      </c>
      <c r="H162" s="162">
        <v>0.84</v>
      </c>
      <c r="I162" s="162">
        <f>ROUND(E162*H162,2)</f>
        <v>105.17</v>
      </c>
      <c r="J162" s="162">
        <v>12.46</v>
      </c>
      <c r="K162" s="162">
        <f>ROUND(E162*J162,2)</f>
        <v>1559.99</v>
      </c>
      <c r="L162" s="162">
        <v>21</v>
      </c>
      <c r="M162" s="162">
        <f>G162*(1+L162/100)</f>
        <v>0</v>
      </c>
      <c r="N162" s="162">
        <v>0.0014</v>
      </c>
      <c r="O162" s="162">
        <f>ROUND(E162*N162,2)</f>
        <v>0.18</v>
      </c>
      <c r="P162" s="162">
        <v>0</v>
      </c>
      <c r="Q162" s="163">
        <f>ROUND(E162*P162,2)</f>
        <v>0</v>
      </c>
      <c r="R162" s="149"/>
      <c r="S162" s="149" t="s">
        <v>95</v>
      </c>
      <c r="T162" s="149" t="s">
        <v>95</v>
      </c>
      <c r="U162" s="149">
        <v>0.03248</v>
      </c>
      <c r="V162" s="149">
        <f>ROUND(E162*U162,2)</f>
        <v>4.07</v>
      </c>
      <c r="W162" s="149"/>
      <c r="X162" s="149" t="s">
        <v>96</v>
      </c>
      <c r="Y162" s="183" t="s">
        <v>221</v>
      </c>
      <c r="Z162" s="183" t="s">
        <v>221</v>
      </c>
      <c r="AA162" s="144"/>
      <c r="AB162" s="144"/>
      <c r="AC162" s="144"/>
      <c r="AD162" s="144"/>
      <c r="AE162" s="144"/>
      <c r="AF162" s="144"/>
      <c r="AG162" s="144" t="s">
        <v>97</v>
      </c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4"/>
      <c r="AT162" s="144"/>
      <c r="AU162" s="144"/>
      <c r="AV162" s="144"/>
      <c r="AW162" s="144"/>
      <c r="AX162" s="144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</row>
    <row r="163" spans="1:60" ht="12.75" outlineLevel="1">
      <c r="A163" s="147"/>
      <c r="B163" s="148"/>
      <c r="C163" s="269" t="s">
        <v>359</v>
      </c>
      <c r="D163" s="270"/>
      <c r="E163" s="270"/>
      <c r="F163" s="270"/>
      <c r="G163" s="270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4"/>
      <c r="Z163" s="144"/>
      <c r="AA163" s="144"/>
      <c r="AB163" s="144"/>
      <c r="AC163" s="144"/>
      <c r="AD163" s="144"/>
      <c r="AE163" s="144"/>
      <c r="AF163" s="144"/>
      <c r="AG163" s="144" t="s">
        <v>99</v>
      </c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4"/>
      <c r="AT163" s="144"/>
      <c r="AU163" s="144"/>
      <c r="AV163" s="144"/>
      <c r="AW163" s="144"/>
      <c r="AX163" s="144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</row>
    <row r="164" spans="1:60" ht="12.75" outlineLevel="1">
      <c r="A164" s="147"/>
      <c r="B164" s="148"/>
      <c r="C164" s="175" t="s">
        <v>364</v>
      </c>
      <c r="D164" s="150"/>
      <c r="E164" s="151">
        <f>23.5+98.7</f>
        <v>122.2</v>
      </c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4"/>
      <c r="Z164" s="144"/>
      <c r="AA164" s="144"/>
      <c r="AB164" s="144"/>
      <c r="AC164" s="144"/>
      <c r="AD164" s="144"/>
      <c r="AE164" s="144"/>
      <c r="AF164" s="144"/>
      <c r="AG164" s="144" t="s">
        <v>98</v>
      </c>
      <c r="AH164" s="144">
        <v>0</v>
      </c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4"/>
      <c r="AT164" s="144"/>
      <c r="AU164" s="144"/>
      <c r="AV164" s="144"/>
      <c r="AW164" s="144"/>
      <c r="AX164" s="144"/>
      <c r="AY164" s="144"/>
      <c r="AZ164" s="144"/>
      <c r="BA164" s="144"/>
      <c r="BB164" s="144"/>
      <c r="BC164" s="144"/>
      <c r="BD164" s="144"/>
      <c r="BE164" s="144"/>
      <c r="BF164" s="144"/>
      <c r="BG164" s="144"/>
      <c r="BH164" s="144"/>
    </row>
    <row r="165" spans="1:60" ht="12.75" outlineLevel="1">
      <c r="A165" s="147"/>
      <c r="B165" s="148"/>
      <c r="C165" s="175" t="s">
        <v>371</v>
      </c>
      <c r="D165" s="150"/>
      <c r="E165" s="151">
        <f>4.2*0.15+5.4*0.15*2+5*0.15</f>
        <v>3</v>
      </c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4"/>
      <c r="Z165" s="144"/>
      <c r="AA165" s="144"/>
      <c r="AB165" s="144"/>
      <c r="AC165" s="144"/>
      <c r="AD165" s="144"/>
      <c r="AE165" s="144"/>
      <c r="AF165" s="144"/>
      <c r="AG165" s="144" t="s">
        <v>98</v>
      </c>
      <c r="AH165" s="144">
        <v>0</v>
      </c>
      <c r="AI165" s="144"/>
      <c r="AJ165" s="144"/>
      <c r="AK165" s="144"/>
      <c r="AL165" s="144"/>
      <c r="AM165" s="144"/>
      <c r="AN165" s="144"/>
      <c r="AO165" s="144"/>
      <c r="AP165" s="144"/>
      <c r="AQ165" s="144"/>
      <c r="AR165" s="144"/>
      <c r="AS165" s="144"/>
      <c r="AT165" s="144"/>
      <c r="AU165" s="144"/>
      <c r="AV165" s="144"/>
      <c r="AW165" s="144"/>
      <c r="AX165" s="144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</row>
    <row r="166" spans="1:60" ht="13.5" customHeight="1" outlineLevel="1">
      <c r="A166" s="158">
        <v>55</v>
      </c>
      <c r="B166" s="159" t="s">
        <v>356</v>
      </c>
      <c r="C166" s="171" t="s">
        <v>357</v>
      </c>
      <c r="D166" s="160" t="s">
        <v>100</v>
      </c>
      <c r="E166" s="161">
        <f>SUM(E167:E167)</f>
        <v>154.6</v>
      </c>
      <c r="F166" s="185">
        <v>0</v>
      </c>
      <c r="G166" s="162">
        <f>ROUND(E166*F166,2)</f>
        <v>0</v>
      </c>
      <c r="H166" s="162">
        <v>0.84</v>
      </c>
      <c r="I166" s="162">
        <f>ROUND(E166*H166,2)</f>
        <v>129.86</v>
      </c>
      <c r="J166" s="162">
        <v>12.46</v>
      </c>
      <c r="K166" s="162">
        <f>ROUND(E166*J166,2)</f>
        <v>1926.32</v>
      </c>
      <c r="L166" s="162">
        <v>21</v>
      </c>
      <c r="M166" s="162">
        <f>G166*(1+L166/100)</f>
        <v>0</v>
      </c>
      <c r="N166" s="162">
        <v>0</v>
      </c>
      <c r="O166" s="162">
        <f>ROUND(E166*N166,2)</f>
        <v>0</v>
      </c>
      <c r="P166" s="162">
        <v>0.0015</v>
      </c>
      <c r="Q166" s="163">
        <f>ROUND(E166*P166,2)</f>
        <v>0.23</v>
      </c>
      <c r="R166" s="149"/>
      <c r="S166" s="149" t="s">
        <v>95</v>
      </c>
      <c r="T166" s="149" t="s">
        <v>95</v>
      </c>
      <c r="U166" s="149">
        <v>0.03248</v>
      </c>
      <c r="V166" s="149">
        <f>ROUND(E166*U166,2)</f>
        <v>5.02</v>
      </c>
      <c r="W166" s="149"/>
      <c r="X166" s="149" t="s">
        <v>96</v>
      </c>
      <c r="Y166" s="183" t="s">
        <v>221</v>
      </c>
      <c r="Z166" s="183" t="s">
        <v>221</v>
      </c>
      <c r="AA166" s="144"/>
      <c r="AB166" s="144"/>
      <c r="AC166" s="144"/>
      <c r="AD166" s="144"/>
      <c r="AE166" s="144"/>
      <c r="AF166" s="144"/>
      <c r="AG166" s="144" t="s">
        <v>97</v>
      </c>
      <c r="AH166" s="144"/>
      <c r="AI166" s="144"/>
      <c r="AJ166" s="144"/>
      <c r="AK166" s="144"/>
      <c r="AL166" s="144"/>
      <c r="AM166" s="144"/>
      <c r="AN166" s="144"/>
      <c r="AO166" s="144"/>
      <c r="AP166" s="144"/>
      <c r="AQ166" s="144"/>
      <c r="AR166" s="144"/>
      <c r="AS166" s="144"/>
      <c r="AT166" s="144"/>
      <c r="AU166" s="144"/>
      <c r="AV166" s="144"/>
      <c r="AW166" s="144"/>
      <c r="AX166" s="144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</row>
    <row r="167" spans="1:60" ht="12.75" outlineLevel="1">
      <c r="A167" s="147"/>
      <c r="B167" s="148"/>
      <c r="C167" s="175" t="s">
        <v>365</v>
      </c>
      <c r="D167" s="150"/>
      <c r="E167" s="151">
        <f>20.2*2+49.1*2+8*2</f>
        <v>154.6</v>
      </c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4"/>
      <c r="Z167" s="144"/>
      <c r="AA167" s="144"/>
      <c r="AB167" s="144"/>
      <c r="AC167" s="144"/>
      <c r="AD167" s="144"/>
      <c r="AE167" s="144"/>
      <c r="AF167" s="144"/>
      <c r="AG167" s="144" t="s">
        <v>98</v>
      </c>
      <c r="AH167" s="144">
        <v>0</v>
      </c>
      <c r="AI167" s="144"/>
      <c r="AJ167" s="144"/>
      <c r="AK167" s="144"/>
      <c r="AL167" s="144"/>
      <c r="AM167" s="144"/>
      <c r="AN167" s="144"/>
      <c r="AO167" s="144"/>
      <c r="AP167" s="144"/>
      <c r="AQ167" s="144"/>
      <c r="AR167" s="144"/>
      <c r="AS167" s="144"/>
      <c r="AT167" s="144"/>
      <c r="AU167" s="144"/>
      <c r="AV167" s="144"/>
      <c r="AW167" s="144"/>
      <c r="AX167" s="144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</row>
    <row r="168" spans="1:60" ht="24" customHeight="1" outlineLevel="1">
      <c r="A168" s="158">
        <v>56</v>
      </c>
      <c r="B168" s="159" t="s">
        <v>267</v>
      </c>
      <c r="C168" s="171" t="s">
        <v>358</v>
      </c>
      <c r="D168" s="160" t="s">
        <v>100</v>
      </c>
      <c r="E168" s="161">
        <f>SUM(E169:E170)</f>
        <v>154.6</v>
      </c>
      <c r="F168" s="176">
        <v>0</v>
      </c>
      <c r="G168" s="162">
        <f>ROUND(E168*F168,2)</f>
        <v>0</v>
      </c>
      <c r="H168" s="162">
        <v>0.84</v>
      </c>
      <c r="I168" s="162">
        <f>ROUND(E168*H168,2)</f>
        <v>129.86</v>
      </c>
      <c r="J168" s="162">
        <v>12.46</v>
      </c>
      <c r="K168" s="162">
        <f>ROUND(E168*J168,2)</f>
        <v>1926.32</v>
      </c>
      <c r="L168" s="162">
        <v>21</v>
      </c>
      <c r="M168" s="162">
        <f>G168*(1+L168/100)</f>
        <v>0</v>
      </c>
      <c r="N168" s="162">
        <v>0.0014</v>
      </c>
      <c r="O168" s="162">
        <f>ROUND(E168*N168,2)</f>
        <v>0.22</v>
      </c>
      <c r="P168" s="162">
        <v>0</v>
      </c>
      <c r="Q168" s="163">
        <f>ROUND(E168*P168,2)</f>
        <v>0</v>
      </c>
      <c r="R168" s="149"/>
      <c r="S168" s="149" t="s">
        <v>95</v>
      </c>
      <c r="T168" s="149" t="s">
        <v>95</v>
      </c>
      <c r="U168" s="149">
        <v>0.03248</v>
      </c>
      <c r="V168" s="149">
        <f>ROUND(E168*U168,2)</f>
        <v>5.02</v>
      </c>
      <c r="W168" s="149"/>
      <c r="X168" s="149" t="s">
        <v>96</v>
      </c>
      <c r="Y168" s="183" t="s">
        <v>221</v>
      </c>
      <c r="Z168" s="183" t="s">
        <v>221</v>
      </c>
      <c r="AA168" s="144"/>
      <c r="AB168" s="144"/>
      <c r="AC168" s="144"/>
      <c r="AD168" s="144"/>
      <c r="AE168" s="144"/>
      <c r="AF168" s="144"/>
      <c r="AG168" s="144" t="s">
        <v>97</v>
      </c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4"/>
      <c r="AT168" s="144"/>
      <c r="AU168" s="144"/>
      <c r="AV168" s="144"/>
      <c r="AW168" s="144"/>
      <c r="AX168" s="144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</row>
    <row r="169" spans="1:60" ht="12.75" outlineLevel="1">
      <c r="A169" s="147"/>
      <c r="B169" s="148"/>
      <c r="C169" s="269" t="s">
        <v>359</v>
      </c>
      <c r="D169" s="270"/>
      <c r="E169" s="270"/>
      <c r="F169" s="270"/>
      <c r="G169" s="270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4"/>
      <c r="Z169" s="144"/>
      <c r="AA169" s="144"/>
      <c r="AB169" s="144"/>
      <c r="AC169" s="144"/>
      <c r="AD169" s="144"/>
      <c r="AE169" s="144"/>
      <c r="AF169" s="144"/>
      <c r="AG169" s="144" t="s">
        <v>99</v>
      </c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4"/>
      <c r="AT169" s="144"/>
      <c r="AU169" s="144"/>
      <c r="AV169" s="144"/>
      <c r="AW169" s="144"/>
      <c r="AX169" s="144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</row>
    <row r="170" spans="1:60" ht="12.75" outlineLevel="1">
      <c r="A170" s="147"/>
      <c r="B170" s="148"/>
      <c r="C170" s="175" t="s">
        <v>365</v>
      </c>
      <c r="D170" s="150"/>
      <c r="E170" s="151">
        <f>20.2*2+49.1*2+8*2</f>
        <v>154.6</v>
      </c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4"/>
      <c r="Z170" s="144"/>
      <c r="AA170" s="144"/>
      <c r="AB170" s="144"/>
      <c r="AC170" s="144"/>
      <c r="AD170" s="144"/>
      <c r="AE170" s="144"/>
      <c r="AF170" s="144"/>
      <c r="AG170" s="144" t="s">
        <v>98</v>
      </c>
      <c r="AH170" s="144">
        <v>0</v>
      </c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4"/>
      <c r="AT170" s="144"/>
      <c r="AU170" s="144"/>
      <c r="AV170" s="144"/>
      <c r="AW170" s="144"/>
      <c r="AX170" s="144"/>
      <c r="AY170" s="144"/>
      <c r="AZ170" s="144"/>
      <c r="BA170" s="144"/>
      <c r="BB170" s="144"/>
      <c r="BC170" s="144"/>
      <c r="BD170" s="144"/>
      <c r="BE170" s="144"/>
      <c r="BF170" s="144"/>
      <c r="BG170" s="144"/>
      <c r="BH170" s="144"/>
    </row>
    <row r="171" spans="1:33" ht="12.75">
      <c r="A171" s="153" t="s">
        <v>92</v>
      </c>
      <c r="B171" s="154" t="s">
        <v>61</v>
      </c>
      <c r="C171" s="170" t="s">
        <v>62</v>
      </c>
      <c r="D171" s="155"/>
      <c r="E171" s="156"/>
      <c r="F171" s="157"/>
      <c r="G171" s="157">
        <f>SUMIF(AG172:AG186,"&lt;&gt;NOR",G172:G186)</f>
        <v>0</v>
      </c>
      <c r="H171" s="157"/>
      <c r="I171" s="157">
        <f>SUM(I172:I186)</f>
        <v>3669.1099999999997</v>
      </c>
      <c r="J171" s="157"/>
      <c r="K171" s="157">
        <f>SUM(K172:K186)</f>
        <v>31025.34</v>
      </c>
      <c r="L171" s="157"/>
      <c r="M171" s="157">
        <f>SUM(M172:M186)</f>
        <v>0</v>
      </c>
      <c r="N171" s="157"/>
      <c r="O171" s="157">
        <f>SUM(O172:O186)</f>
        <v>0.09</v>
      </c>
      <c r="P171" s="157"/>
      <c r="Q171" s="178">
        <f>SUM(Q172:Q186)</f>
        <v>0.05</v>
      </c>
      <c r="R171" s="152"/>
      <c r="S171" s="152"/>
      <c r="T171" s="152"/>
      <c r="U171" s="152"/>
      <c r="V171" s="152">
        <f>SUM(V172:V186)</f>
        <v>64.6</v>
      </c>
      <c r="W171" s="152"/>
      <c r="X171" s="152"/>
      <c r="Y171" s="178"/>
      <c r="Z171" s="184"/>
      <c r="AG171" t="s">
        <v>93</v>
      </c>
    </row>
    <row r="172" spans="1:60" ht="24" customHeight="1" outlineLevel="1">
      <c r="A172" s="158">
        <v>57</v>
      </c>
      <c r="B172" s="159" t="s">
        <v>129</v>
      </c>
      <c r="C172" s="171" t="s">
        <v>184</v>
      </c>
      <c r="D172" s="160" t="s">
        <v>100</v>
      </c>
      <c r="E172" s="161">
        <f>SUM(E173:E173)</f>
        <v>122.2</v>
      </c>
      <c r="F172" s="176">
        <v>0</v>
      </c>
      <c r="G172" s="162">
        <f>ROUND(E172*F172,2)</f>
        <v>0</v>
      </c>
      <c r="H172" s="162">
        <v>0.84</v>
      </c>
      <c r="I172" s="162">
        <f>ROUND(E172*H172,2)</f>
        <v>102.65</v>
      </c>
      <c r="J172" s="162">
        <v>12.46</v>
      </c>
      <c r="K172" s="162">
        <f>ROUND(E172*J172,2)</f>
        <v>1522.61</v>
      </c>
      <c r="L172" s="162">
        <v>21</v>
      </c>
      <c r="M172" s="162">
        <f>G172*(1+L172/100)</f>
        <v>0</v>
      </c>
      <c r="N172" s="162">
        <v>0.00027</v>
      </c>
      <c r="O172" s="162">
        <f>ROUND(E172*N172,2)</f>
        <v>0.03</v>
      </c>
      <c r="P172" s="162">
        <v>0</v>
      </c>
      <c r="Q172" s="163">
        <f>ROUND(E172*P172,2)</f>
        <v>0</v>
      </c>
      <c r="R172" s="149"/>
      <c r="S172" s="149" t="s">
        <v>95</v>
      </c>
      <c r="T172" s="149" t="s">
        <v>95</v>
      </c>
      <c r="U172" s="149">
        <v>0.03248</v>
      </c>
      <c r="V172" s="149">
        <f>ROUND(E172*U172,2)</f>
        <v>3.97</v>
      </c>
      <c r="W172" s="149"/>
      <c r="X172" s="149" t="s">
        <v>96</v>
      </c>
      <c r="Y172" s="183" t="s">
        <v>221</v>
      </c>
      <c r="Z172" s="183" t="s">
        <v>221</v>
      </c>
      <c r="AA172" s="144"/>
      <c r="AB172" s="144"/>
      <c r="AC172" s="144"/>
      <c r="AD172" s="144"/>
      <c r="AE172" s="144"/>
      <c r="AF172" s="144"/>
      <c r="AG172" s="144" t="s">
        <v>97</v>
      </c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4"/>
      <c r="AT172" s="144"/>
      <c r="AU172" s="144"/>
      <c r="AV172" s="144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</row>
    <row r="173" spans="1:60" ht="12.75" outlineLevel="1">
      <c r="A173" s="147"/>
      <c r="B173" s="148"/>
      <c r="C173" s="175" t="s">
        <v>364</v>
      </c>
      <c r="D173" s="150"/>
      <c r="E173" s="151">
        <f>23.5+98.7</f>
        <v>122.2</v>
      </c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4"/>
      <c r="Z173" s="144"/>
      <c r="AA173" s="144"/>
      <c r="AB173" s="144"/>
      <c r="AC173" s="144"/>
      <c r="AD173" s="144"/>
      <c r="AE173" s="144"/>
      <c r="AF173" s="144"/>
      <c r="AG173" s="144" t="s">
        <v>98</v>
      </c>
      <c r="AH173" s="144">
        <v>0</v>
      </c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4"/>
      <c r="AT173" s="144"/>
      <c r="AU173" s="144"/>
      <c r="AV173" s="144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</row>
    <row r="174" spans="1:60" ht="12.75" customHeight="1" outlineLevel="1">
      <c r="A174" s="158">
        <v>58</v>
      </c>
      <c r="B174" s="159" t="s">
        <v>179</v>
      </c>
      <c r="C174" s="171" t="s">
        <v>180</v>
      </c>
      <c r="D174" s="160" t="s">
        <v>100</v>
      </c>
      <c r="E174" s="161">
        <f>SUM(E175:E177)</f>
        <v>77.52</v>
      </c>
      <c r="F174" s="185">
        <v>0</v>
      </c>
      <c r="G174" s="162">
        <f>ROUND(E174*F174,2)</f>
        <v>0</v>
      </c>
      <c r="H174" s="162">
        <v>0.84</v>
      </c>
      <c r="I174" s="162">
        <f>ROUND(E174*H174,2)</f>
        <v>65.12</v>
      </c>
      <c r="J174" s="162">
        <v>12.46</v>
      </c>
      <c r="K174" s="162">
        <f>ROUND(E174*J174,2)</f>
        <v>965.9</v>
      </c>
      <c r="L174" s="162">
        <v>21</v>
      </c>
      <c r="M174" s="162">
        <f>G174*(1+L174/100)</f>
        <v>0</v>
      </c>
      <c r="N174" s="162">
        <v>0</v>
      </c>
      <c r="O174" s="162">
        <f>ROUND(E174*N174,2)</f>
        <v>0</v>
      </c>
      <c r="P174" s="162">
        <v>0.0004</v>
      </c>
      <c r="Q174" s="163">
        <f>ROUND(E174*P174,2)</f>
        <v>0.03</v>
      </c>
      <c r="R174" s="149"/>
      <c r="S174" s="149" t="s">
        <v>95</v>
      </c>
      <c r="T174" s="149" t="s">
        <v>95</v>
      </c>
      <c r="U174" s="149">
        <v>0.03248</v>
      </c>
      <c r="V174" s="149">
        <f>ROUND(E174*U174,2)</f>
        <v>2.52</v>
      </c>
      <c r="W174" s="149"/>
      <c r="X174" s="149" t="s">
        <v>96</v>
      </c>
      <c r="Y174" s="183" t="s">
        <v>221</v>
      </c>
      <c r="Z174" s="183" t="s">
        <v>221</v>
      </c>
      <c r="AA174" s="144"/>
      <c r="AB174" s="144"/>
      <c r="AC174" s="144"/>
      <c r="AD174" s="144"/>
      <c r="AE174" s="144"/>
      <c r="AF174" s="144"/>
      <c r="AG174" s="144" t="s">
        <v>97</v>
      </c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4"/>
      <c r="AT174" s="144"/>
      <c r="AU174" s="144"/>
      <c r="AV174" s="144"/>
      <c r="AW174" s="144"/>
      <c r="AX174" s="144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</row>
    <row r="175" spans="1:60" ht="12.75" outlineLevel="1">
      <c r="A175" s="147"/>
      <c r="B175" s="148"/>
      <c r="C175" s="175" t="s">
        <v>327</v>
      </c>
      <c r="D175" s="150"/>
      <c r="E175" s="151">
        <f>10*0.3*2+2</f>
        <v>8</v>
      </c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4"/>
      <c r="Z175" s="144"/>
      <c r="AA175" s="144"/>
      <c r="AB175" s="144"/>
      <c r="AC175" s="144"/>
      <c r="AD175" s="144"/>
      <c r="AE175" s="144"/>
      <c r="AF175" s="144"/>
      <c r="AG175" s="144" t="s">
        <v>98</v>
      </c>
      <c r="AH175" s="144">
        <v>0</v>
      </c>
      <c r="AI175" s="144"/>
      <c r="AJ175" s="144"/>
      <c r="AK175" s="144"/>
      <c r="AL175" s="144"/>
      <c r="AM175" s="144"/>
      <c r="AN175" s="144"/>
      <c r="AO175" s="144"/>
      <c r="AP175" s="144"/>
      <c r="AQ175" s="144"/>
      <c r="AR175" s="144"/>
      <c r="AS175" s="144"/>
      <c r="AT175" s="144"/>
      <c r="AU175" s="144"/>
      <c r="AV175" s="144"/>
      <c r="AW175" s="144"/>
      <c r="AX175" s="144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</row>
    <row r="176" spans="1:60" ht="12.75" outlineLevel="1">
      <c r="A176" s="147"/>
      <c r="B176" s="148"/>
      <c r="C176" s="175" t="s">
        <v>300</v>
      </c>
      <c r="D176" s="150"/>
      <c r="E176" s="151">
        <f>(2.3+1.2+2.3)*0.8</f>
        <v>4.64</v>
      </c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4"/>
      <c r="Z176" s="144"/>
      <c r="AA176" s="144"/>
      <c r="AB176" s="144"/>
      <c r="AC176" s="144"/>
      <c r="AD176" s="144"/>
      <c r="AE176" s="144"/>
      <c r="AF176" s="144"/>
      <c r="AG176" s="144" t="s">
        <v>98</v>
      </c>
      <c r="AH176" s="144">
        <v>0</v>
      </c>
      <c r="AI176" s="144"/>
      <c r="AJ176" s="144"/>
      <c r="AK176" s="144"/>
      <c r="AL176" s="144"/>
      <c r="AM176" s="144"/>
      <c r="AN176" s="144"/>
      <c r="AO176" s="144"/>
      <c r="AP176" s="144"/>
      <c r="AQ176" s="144"/>
      <c r="AR176" s="144"/>
      <c r="AS176" s="144"/>
      <c r="AT176" s="144"/>
      <c r="AU176" s="144"/>
      <c r="AV176" s="144"/>
      <c r="AW176" s="144"/>
      <c r="AX176" s="144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</row>
    <row r="177" spans="1:60" ht="12.75" outlineLevel="1">
      <c r="A177" s="147"/>
      <c r="B177" s="148"/>
      <c r="C177" s="175" t="s">
        <v>298</v>
      </c>
      <c r="D177" s="150"/>
      <c r="E177" s="151">
        <f>(3.6*3.6+6.3*3.6-1.6*2)*2</f>
        <v>64.88</v>
      </c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4"/>
      <c r="Z177" s="144"/>
      <c r="AA177" s="144"/>
      <c r="AB177" s="144"/>
      <c r="AC177" s="144"/>
      <c r="AD177" s="144"/>
      <c r="AE177" s="144"/>
      <c r="AF177" s="144"/>
      <c r="AG177" s="144" t="s">
        <v>98</v>
      </c>
      <c r="AH177" s="144">
        <v>0</v>
      </c>
      <c r="AI177" s="144"/>
      <c r="AJ177" s="144"/>
      <c r="AK177" s="144"/>
      <c r="AL177" s="144"/>
      <c r="AM177" s="144"/>
      <c r="AN177" s="144"/>
      <c r="AO177" s="144"/>
      <c r="AP177" s="144"/>
      <c r="AQ177" s="144"/>
      <c r="AR177" s="144"/>
      <c r="AS177" s="144"/>
      <c r="AT177" s="144"/>
      <c r="AU177" s="144"/>
      <c r="AV177" s="144"/>
      <c r="AW177" s="144"/>
      <c r="AX177" s="144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</row>
    <row r="178" spans="1:60" ht="13.5" customHeight="1" outlineLevel="1">
      <c r="A178" s="158">
        <v>59</v>
      </c>
      <c r="B178" s="159" t="s">
        <v>145</v>
      </c>
      <c r="C178" s="171" t="s">
        <v>146</v>
      </c>
      <c r="D178" s="160" t="s">
        <v>100</v>
      </c>
      <c r="E178" s="161">
        <f>SUM(E179:E180)</f>
        <v>245.88</v>
      </c>
      <c r="F178" s="176">
        <v>0</v>
      </c>
      <c r="G178" s="162">
        <f>ROUND(E178*F178,2)</f>
        <v>0</v>
      </c>
      <c r="H178" s="162">
        <v>5.04</v>
      </c>
      <c r="I178" s="162">
        <f>ROUND(E178*H178,2)</f>
        <v>1239.24</v>
      </c>
      <c r="J178" s="162">
        <v>50.06</v>
      </c>
      <c r="K178" s="162">
        <f>ROUND(E178*J178,2)</f>
        <v>12308.75</v>
      </c>
      <c r="L178" s="162">
        <v>21</v>
      </c>
      <c r="M178" s="162">
        <f>G178*(1+L178/100)</f>
        <v>0</v>
      </c>
      <c r="N178" s="162">
        <v>0</v>
      </c>
      <c r="O178" s="162">
        <f>ROUND(E178*N178,2)</f>
        <v>0</v>
      </c>
      <c r="P178" s="162">
        <v>0.0001</v>
      </c>
      <c r="Q178" s="163">
        <f>ROUND(E178*P178,2)</f>
        <v>0.02</v>
      </c>
      <c r="R178" s="149"/>
      <c r="S178" s="149" t="s">
        <v>95</v>
      </c>
      <c r="T178" s="149" t="s">
        <v>95</v>
      </c>
      <c r="U178" s="149">
        <v>0.10191</v>
      </c>
      <c r="V178" s="149">
        <f>ROUND(E178*U178,2)</f>
        <v>25.06</v>
      </c>
      <c r="W178" s="149"/>
      <c r="X178" s="149" t="s">
        <v>96</v>
      </c>
      <c r="Y178" s="183" t="s">
        <v>221</v>
      </c>
      <c r="Z178" s="183" t="s">
        <v>221</v>
      </c>
      <c r="AA178" s="144"/>
      <c r="AB178" s="144"/>
      <c r="AC178" s="144"/>
      <c r="AD178" s="144"/>
      <c r="AE178" s="144"/>
      <c r="AF178" s="144"/>
      <c r="AG178" s="144" t="s">
        <v>97</v>
      </c>
      <c r="AH178" s="144"/>
      <c r="AI178" s="144"/>
      <c r="AJ178" s="144"/>
      <c r="AK178" s="144"/>
      <c r="AL178" s="144"/>
      <c r="AM178" s="144"/>
      <c r="AN178" s="144"/>
      <c r="AO178" s="144"/>
      <c r="AP178" s="144"/>
      <c r="AQ178" s="144"/>
      <c r="AR178" s="144"/>
      <c r="AS178" s="144"/>
      <c r="AT178" s="144"/>
      <c r="AU178" s="144"/>
      <c r="AV178" s="144"/>
      <c r="AW178" s="144"/>
      <c r="AX178" s="144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</row>
    <row r="179" spans="1:60" ht="12.75" outlineLevel="1">
      <c r="A179" s="147"/>
      <c r="B179" s="148"/>
      <c r="C179" s="175" t="s">
        <v>366</v>
      </c>
      <c r="D179" s="150"/>
      <c r="E179" s="151">
        <f>23.5+98.7</f>
        <v>122.2</v>
      </c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4"/>
      <c r="Z179" s="144"/>
      <c r="AA179" s="144"/>
      <c r="AB179" s="144"/>
      <c r="AC179" s="144"/>
      <c r="AD179" s="144"/>
      <c r="AE179" s="144"/>
      <c r="AF179" s="144"/>
      <c r="AG179" s="144" t="s">
        <v>98</v>
      </c>
      <c r="AH179" s="144">
        <v>0</v>
      </c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4"/>
      <c r="AT179" s="144"/>
      <c r="AU179" s="144"/>
      <c r="AV179" s="144"/>
      <c r="AW179" s="144"/>
      <c r="AX179" s="144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</row>
    <row r="180" spans="1:60" ht="12.75" outlineLevel="1">
      <c r="A180" s="147"/>
      <c r="B180" s="148"/>
      <c r="C180" s="175" t="s">
        <v>367</v>
      </c>
      <c r="D180" s="150"/>
      <c r="E180" s="151">
        <f>20.2*1.6+49.1*1.6+8*1.6</f>
        <v>123.67999999999999</v>
      </c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4"/>
      <c r="Z180" s="144"/>
      <c r="AA180" s="144"/>
      <c r="AB180" s="144"/>
      <c r="AC180" s="144"/>
      <c r="AD180" s="144"/>
      <c r="AE180" s="144"/>
      <c r="AF180" s="144"/>
      <c r="AG180" s="144" t="s">
        <v>98</v>
      </c>
      <c r="AH180" s="144">
        <v>0</v>
      </c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4"/>
      <c r="AT180" s="144"/>
      <c r="AU180" s="144"/>
      <c r="AV180" s="144"/>
      <c r="AW180" s="144"/>
      <c r="AX180" s="144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</row>
    <row r="181" spans="1:60" ht="12.75" outlineLevel="1">
      <c r="A181" s="158">
        <v>60</v>
      </c>
      <c r="B181" s="159" t="s">
        <v>154</v>
      </c>
      <c r="C181" s="171" t="s">
        <v>131</v>
      </c>
      <c r="D181" s="160" t="s">
        <v>100</v>
      </c>
      <c r="E181" s="161">
        <f>SUM(E182:E183)</f>
        <v>245.88</v>
      </c>
      <c r="F181" s="176">
        <v>0</v>
      </c>
      <c r="G181" s="162">
        <f>ROUND(E181*F181,2)</f>
        <v>0</v>
      </c>
      <c r="H181" s="162">
        <v>4.16</v>
      </c>
      <c r="I181" s="162">
        <f>ROUND(E181*H181,2)</f>
        <v>1022.86</v>
      </c>
      <c r="J181" s="162">
        <v>15.94</v>
      </c>
      <c r="K181" s="162">
        <f>ROUND(E181*J181,2)</f>
        <v>3919.33</v>
      </c>
      <c r="L181" s="162">
        <v>21</v>
      </c>
      <c r="M181" s="162">
        <f>G181*(1+L181/100)</f>
        <v>0</v>
      </c>
      <c r="N181" s="162">
        <v>7E-05</v>
      </c>
      <c r="O181" s="162">
        <f>ROUND(E181*N181,2)</f>
        <v>0.02</v>
      </c>
      <c r="P181" s="162">
        <v>0</v>
      </c>
      <c r="Q181" s="163">
        <f>ROUND(E181*P181,2)</f>
        <v>0</v>
      </c>
      <c r="R181" s="149"/>
      <c r="S181" s="149" t="s">
        <v>95</v>
      </c>
      <c r="T181" s="149" t="s">
        <v>95</v>
      </c>
      <c r="U181" s="149">
        <v>0.03248</v>
      </c>
      <c r="V181" s="149">
        <f>ROUND(E181*U181,2)</f>
        <v>7.99</v>
      </c>
      <c r="W181" s="149"/>
      <c r="X181" s="149" t="s">
        <v>96</v>
      </c>
      <c r="Y181" s="183" t="s">
        <v>221</v>
      </c>
      <c r="Z181" s="183" t="s">
        <v>221</v>
      </c>
      <c r="AA181" s="144"/>
      <c r="AB181" s="144"/>
      <c r="AC181" s="144"/>
      <c r="AD181" s="144"/>
      <c r="AE181" s="144"/>
      <c r="AF181" s="144"/>
      <c r="AG181" s="144" t="s">
        <v>97</v>
      </c>
      <c r="AH181" s="144"/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4"/>
      <c r="AT181" s="144"/>
      <c r="AU181" s="144"/>
      <c r="AV181" s="144"/>
      <c r="AW181" s="144"/>
      <c r="AX181" s="144"/>
      <c r="AY181" s="144"/>
      <c r="AZ181" s="144"/>
      <c r="BA181" s="144"/>
      <c r="BB181" s="144"/>
      <c r="BC181" s="144"/>
      <c r="BD181" s="144"/>
      <c r="BE181" s="144"/>
      <c r="BF181" s="144"/>
      <c r="BG181" s="144"/>
      <c r="BH181" s="144"/>
    </row>
    <row r="182" spans="1:60" ht="12.75" outlineLevel="1">
      <c r="A182" s="147"/>
      <c r="B182" s="148"/>
      <c r="C182" s="175" t="s">
        <v>366</v>
      </c>
      <c r="D182" s="150"/>
      <c r="E182" s="151">
        <f>23.5+98.7</f>
        <v>122.2</v>
      </c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4"/>
      <c r="Z182" s="144"/>
      <c r="AA182" s="144"/>
      <c r="AB182" s="144"/>
      <c r="AC182" s="144"/>
      <c r="AD182" s="144"/>
      <c r="AE182" s="144"/>
      <c r="AF182" s="144"/>
      <c r="AG182" s="144" t="s">
        <v>98</v>
      </c>
      <c r="AH182" s="144">
        <v>0</v>
      </c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4"/>
      <c r="AT182" s="144"/>
      <c r="AU182" s="144"/>
      <c r="AV182" s="144"/>
      <c r="AW182" s="144"/>
      <c r="AX182" s="144"/>
      <c r="AY182" s="144"/>
      <c r="AZ182" s="144"/>
      <c r="BA182" s="144"/>
      <c r="BB182" s="144"/>
      <c r="BC182" s="144"/>
      <c r="BD182" s="144"/>
      <c r="BE182" s="144"/>
      <c r="BF182" s="144"/>
      <c r="BG182" s="144"/>
      <c r="BH182" s="144"/>
    </row>
    <row r="183" spans="1:60" ht="12.75" outlineLevel="1">
      <c r="A183" s="147"/>
      <c r="B183" s="148"/>
      <c r="C183" s="175" t="s">
        <v>367</v>
      </c>
      <c r="D183" s="150"/>
      <c r="E183" s="151">
        <f>20.2*1.6+49.1*1.6+8*1.6</f>
        <v>123.67999999999999</v>
      </c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4"/>
      <c r="Z183" s="144"/>
      <c r="AA183" s="144"/>
      <c r="AB183" s="144"/>
      <c r="AC183" s="144"/>
      <c r="AD183" s="144"/>
      <c r="AE183" s="144"/>
      <c r="AF183" s="144"/>
      <c r="AG183" s="144" t="s">
        <v>98</v>
      </c>
      <c r="AH183" s="144">
        <v>0</v>
      </c>
      <c r="AI183" s="144"/>
      <c r="AJ183" s="144"/>
      <c r="AK183" s="144"/>
      <c r="AL183" s="144"/>
      <c r="AM183" s="144"/>
      <c r="AN183" s="144"/>
      <c r="AO183" s="144"/>
      <c r="AP183" s="144"/>
      <c r="AQ183" s="144"/>
      <c r="AR183" s="144"/>
      <c r="AS183" s="144"/>
      <c r="AT183" s="144"/>
      <c r="AU183" s="144"/>
      <c r="AV183" s="144"/>
      <c r="AW183" s="144"/>
      <c r="AX183" s="144"/>
      <c r="AY183" s="144"/>
      <c r="AZ183" s="144"/>
      <c r="BA183" s="144"/>
      <c r="BB183" s="144"/>
      <c r="BC183" s="144"/>
      <c r="BD183" s="144"/>
      <c r="BE183" s="144"/>
      <c r="BF183" s="144"/>
      <c r="BG183" s="144"/>
      <c r="BH183" s="144"/>
    </row>
    <row r="184" spans="1:60" ht="23.25" customHeight="1" outlineLevel="1">
      <c r="A184" s="158">
        <v>61</v>
      </c>
      <c r="B184" s="159" t="s">
        <v>153</v>
      </c>
      <c r="C184" s="171" t="s">
        <v>268</v>
      </c>
      <c r="D184" s="160" t="s">
        <v>100</v>
      </c>
      <c r="E184" s="161">
        <f>SUM(E185:E186)</f>
        <v>245.88</v>
      </c>
      <c r="F184" s="176">
        <v>0</v>
      </c>
      <c r="G184" s="162">
        <f>ROUND(E184*F184,2)</f>
        <v>0</v>
      </c>
      <c r="H184" s="162">
        <v>5.04</v>
      </c>
      <c r="I184" s="162">
        <f>ROUND(E184*H184,2)</f>
        <v>1239.24</v>
      </c>
      <c r="J184" s="162">
        <v>50.06</v>
      </c>
      <c r="K184" s="162">
        <f>ROUND(E184*J184,2)</f>
        <v>12308.75</v>
      </c>
      <c r="L184" s="162">
        <v>21</v>
      </c>
      <c r="M184" s="162">
        <f>G184*(1+L184/100)</f>
        <v>0</v>
      </c>
      <c r="N184" s="162">
        <v>0.00015</v>
      </c>
      <c r="O184" s="162">
        <f>ROUND(E184*N184,2)</f>
        <v>0.04</v>
      </c>
      <c r="P184" s="162">
        <v>0</v>
      </c>
      <c r="Q184" s="163">
        <f>ROUND(E184*P184,2)</f>
        <v>0</v>
      </c>
      <c r="R184" s="149"/>
      <c r="S184" s="149" t="s">
        <v>95</v>
      </c>
      <c r="T184" s="149" t="s">
        <v>95</v>
      </c>
      <c r="U184" s="149">
        <v>0.10191</v>
      </c>
      <c r="V184" s="149">
        <f>ROUND(E184*U184,2)</f>
        <v>25.06</v>
      </c>
      <c r="W184" s="149"/>
      <c r="X184" s="149" t="s">
        <v>96</v>
      </c>
      <c r="Y184" s="183" t="s">
        <v>221</v>
      </c>
      <c r="Z184" s="183" t="s">
        <v>221</v>
      </c>
      <c r="AA184" s="144"/>
      <c r="AB184" s="144"/>
      <c r="AC184" s="144"/>
      <c r="AD184" s="144"/>
      <c r="AE184" s="144"/>
      <c r="AF184" s="144"/>
      <c r="AG184" s="144" t="s">
        <v>97</v>
      </c>
      <c r="AH184" s="144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4"/>
      <c r="AT184" s="144"/>
      <c r="AU184" s="144"/>
      <c r="AV184" s="144"/>
      <c r="AW184" s="144"/>
      <c r="AX184" s="144"/>
      <c r="AY184" s="144"/>
      <c r="AZ184" s="144"/>
      <c r="BA184" s="144"/>
      <c r="BB184" s="144"/>
      <c r="BC184" s="144"/>
      <c r="BD184" s="144"/>
      <c r="BE184" s="144"/>
      <c r="BF184" s="144"/>
      <c r="BG184" s="144"/>
      <c r="BH184" s="144"/>
    </row>
    <row r="185" spans="1:60" ht="12.75" outlineLevel="1">
      <c r="A185" s="147"/>
      <c r="B185" s="148"/>
      <c r="C185" s="175" t="s">
        <v>366</v>
      </c>
      <c r="D185" s="150"/>
      <c r="E185" s="151">
        <f>23.5+98.7</f>
        <v>122.2</v>
      </c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4"/>
      <c r="Z185" s="144"/>
      <c r="AA185" s="144"/>
      <c r="AB185" s="144"/>
      <c r="AC185" s="144"/>
      <c r="AD185" s="144"/>
      <c r="AE185" s="144"/>
      <c r="AF185" s="144"/>
      <c r="AG185" s="144" t="s">
        <v>98</v>
      </c>
      <c r="AH185" s="144">
        <v>0</v>
      </c>
      <c r="AI185" s="144"/>
      <c r="AJ185" s="144"/>
      <c r="AK185" s="144"/>
      <c r="AL185" s="144"/>
      <c r="AM185" s="144"/>
      <c r="AN185" s="144"/>
      <c r="AO185" s="144"/>
      <c r="AP185" s="144"/>
      <c r="AQ185" s="144"/>
      <c r="AR185" s="144"/>
      <c r="AS185" s="144"/>
      <c r="AT185" s="144"/>
      <c r="AU185" s="144"/>
      <c r="AV185" s="144"/>
      <c r="AW185" s="144"/>
      <c r="AX185" s="144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</row>
    <row r="186" spans="1:60" ht="12.75" outlineLevel="1">
      <c r="A186" s="147"/>
      <c r="B186" s="148"/>
      <c r="C186" s="175" t="s">
        <v>367</v>
      </c>
      <c r="D186" s="150"/>
      <c r="E186" s="151">
        <f>20.2*1.6+49.1*1.6+8*1.6</f>
        <v>123.67999999999999</v>
      </c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4"/>
      <c r="Z186" s="144"/>
      <c r="AA186" s="144"/>
      <c r="AB186" s="144"/>
      <c r="AC186" s="144"/>
      <c r="AD186" s="144"/>
      <c r="AE186" s="144"/>
      <c r="AF186" s="144"/>
      <c r="AG186" s="144" t="s">
        <v>98</v>
      </c>
      <c r="AH186" s="144">
        <v>0</v>
      </c>
      <c r="AI186" s="144"/>
      <c r="AJ186" s="144"/>
      <c r="AK186" s="144"/>
      <c r="AL186" s="144"/>
      <c r="AM186" s="144"/>
      <c r="AN186" s="144"/>
      <c r="AO186" s="144"/>
      <c r="AP186" s="144"/>
      <c r="AQ186" s="144"/>
      <c r="AR186" s="144"/>
      <c r="AS186" s="144"/>
      <c r="AT186" s="144"/>
      <c r="AU186" s="144"/>
      <c r="AV186" s="144"/>
      <c r="AW186" s="144"/>
      <c r="AX186" s="144"/>
      <c r="AY186" s="144"/>
      <c r="AZ186" s="144"/>
      <c r="BA186" s="144"/>
      <c r="BB186" s="144"/>
      <c r="BC186" s="144"/>
      <c r="BD186" s="144"/>
      <c r="BE186" s="144"/>
      <c r="BF186" s="144"/>
      <c r="BG186" s="144"/>
      <c r="BH186" s="144"/>
    </row>
    <row r="187" spans="1:33" ht="12.75">
      <c r="A187" s="153" t="s">
        <v>92</v>
      </c>
      <c r="B187" s="154" t="s">
        <v>63</v>
      </c>
      <c r="C187" s="170" t="s">
        <v>64</v>
      </c>
      <c r="D187" s="155"/>
      <c r="E187" s="156"/>
      <c r="F187" s="157"/>
      <c r="G187" s="157">
        <f>SUMIF(AG188:AG193,"&lt;&gt;NOR",G188:G193)</f>
        <v>0</v>
      </c>
      <c r="H187" s="157"/>
      <c r="I187" s="157">
        <f>SUM(I188:I193)</f>
        <v>0</v>
      </c>
      <c r="J187" s="157"/>
      <c r="K187" s="157">
        <f>SUM(K188:K193)</f>
        <v>5889.41</v>
      </c>
      <c r="L187" s="157"/>
      <c r="M187" s="157">
        <f>SUM(M188:M193)</f>
        <v>0</v>
      </c>
      <c r="N187" s="157"/>
      <c r="O187" s="157">
        <f>SUM(O188:O193)</f>
        <v>0</v>
      </c>
      <c r="P187" s="157"/>
      <c r="Q187" s="178">
        <f>SUM(Q188:Q193)</f>
        <v>0</v>
      </c>
      <c r="R187" s="152"/>
      <c r="S187" s="152"/>
      <c r="T187" s="152"/>
      <c r="U187" s="152"/>
      <c r="V187" s="152">
        <f>SUM(V188:V193)</f>
        <v>9.299999999999999</v>
      </c>
      <c r="W187" s="152"/>
      <c r="X187" s="152"/>
      <c r="Y187" s="178"/>
      <c r="Z187" s="184"/>
      <c r="AG187" t="s">
        <v>93</v>
      </c>
    </row>
    <row r="188" spans="1:60" ht="12.75" outlineLevel="1">
      <c r="A188" s="158">
        <v>62</v>
      </c>
      <c r="B188" s="159" t="s">
        <v>111</v>
      </c>
      <c r="C188" s="171" t="s">
        <v>112</v>
      </c>
      <c r="D188" s="160" t="s">
        <v>101</v>
      </c>
      <c r="E188" s="161">
        <f>Q64+Q103+Q115+Q154+Q171</f>
        <v>3.9199999999999995</v>
      </c>
      <c r="F188" s="176">
        <v>0</v>
      </c>
      <c r="G188" s="162">
        <f>ROUND(E188*F188,2)</f>
        <v>0</v>
      </c>
      <c r="H188" s="162">
        <v>0</v>
      </c>
      <c r="I188" s="162">
        <f>ROUND(E188*H188,2)</f>
        <v>0</v>
      </c>
      <c r="J188" s="162">
        <v>226</v>
      </c>
      <c r="K188" s="162">
        <f>ROUND(E188*J188,2)</f>
        <v>885.92</v>
      </c>
      <c r="L188" s="162">
        <v>21</v>
      </c>
      <c r="M188" s="162">
        <f>G188*(1+L188/100)</f>
        <v>0</v>
      </c>
      <c r="N188" s="162">
        <v>0</v>
      </c>
      <c r="O188" s="162">
        <f>ROUND(E188*N188,2)</f>
        <v>0</v>
      </c>
      <c r="P188" s="162">
        <v>0</v>
      </c>
      <c r="Q188" s="163">
        <f>ROUND(E188*P188,2)</f>
        <v>0</v>
      </c>
      <c r="R188" s="149"/>
      <c r="S188" s="149" t="s">
        <v>95</v>
      </c>
      <c r="T188" s="149" t="s">
        <v>95</v>
      </c>
      <c r="U188" s="149">
        <v>0.49</v>
      </c>
      <c r="V188" s="149">
        <f>ROUND(E188*U188,2)</f>
        <v>1.92</v>
      </c>
      <c r="W188" s="149"/>
      <c r="X188" s="149" t="s">
        <v>113</v>
      </c>
      <c r="Y188" s="183" t="s">
        <v>221</v>
      </c>
      <c r="Z188" s="183" t="s">
        <v>221</v>
      </c>
      <c r="AA188" s="144"/>
      <c r="AB188" s="144"/>
      <c r="AC188" s="144"/>
      <c r="AD188" s="144"/>
      <c r="AE188" s="144"/>
      <c r="AF188" s="144"/>
      <c r="AG188" s="144" t="s">
        <v>114</v>
      </c>
      <c r="AH188" s="144"/>
      <c r="AI188" s="144"/>
      <c r="AJ188" s="144"/>
      <c r="AK188" s="144"/>
      <c r="AL188" s="144"/>
      <c r="AM188" s="144"/>
      <c r="AN188" s="144"/>
      <c r="AO188" s="144"/>
      <c r="AP188" s="144"/>
      <c r="AQ188" s="144"/>
      <c r="AR188" s="144"/>
      <c r="AS188" s="144"/>
      <c r="AT188" s="144"/>
      <c r="AU188" s="144"/>
      <c r="AV188" s="144"/>
      <c r="AW188" s="144"/>
      <c r="AX188" s="144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</row>
    <row r="189" spans="1:60" ht="12.75" outlineLevel="1">
      <c r="A189" s="147"/>
      <c r="B189" s="148"/>
      <c r="C189" s="257" t="s">
        <v>368</v>
      </c>
      <c r="D189" s="258"/>
      <c r="E189" s="258"/>
      <c r="F189" s="258"/>
      <c r="G189" s="258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4"/>
      <c r="Z189" s="144"/>
      <c r="AA189" s="144"/>
      <c r="AB189" s="144"/>
      <c r="AC189" s="144"/>
      <c r="AD189" s="144"/>
      <c r="AE189" s="144"/>
      <c r="AF189" s="144"/>
      <c r="AG189" s="144" t="s">
        <v>99</v>
      </c>
      <c r="AH189" s="144"/>
      <c r="AI189" s="144"/>
      <c r="AJ189" s="144"/>
      <c r="AK189" s="144"/>
      <c r="AL189" s="144"/>
      <c r="AM189" s="144"/>
      <c r="AN189" s="144"/>
      <c r="AO189" s="144"/>
      <c r="AP189" s="144"/>
      <c r="AQ189" s="144"/>
      <c r="AR189" s="144"/>
      <c r="AS189" s="144"/>
      <c r="AT189" s="144"/>
      <c r="AU189" s="144"/>
      <c r="AV189" s="144"/>
      <c r="AW189" s="144"/>
      <c r="AX189" s="144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</row>
    <row r="190" spans="1:60" ht="12.75" outlineLevel="1">
      <c r="A190" s="164">
        <v>63</v>
      </c>
      <c r="B190" s="165" t="s">
        <v>115</v>
      </c>
      <c r="C190" s="173" t="s">
        <v>116</v>
      </c>
      <c r="D190" s="166" t="s">
        <v>101</v>
      </c>
      <c r="E190" s="167">
        <f>E188*9</f>
        <v>35.279999999999994</v>
      </c>
      <c r="F190" s="177">
        <v>0</v>
      </c>
      <c r="G190" s="168">
        <f>ROUND(E190*F190,2)</f>
        <v>0</v>
      </c>
      <c r="H190" s="168">
        <v>0</v>
      </c>
      <c r="I190" s="168">
        <f>ROUND(E190*H190,2)</f>
        <v>0</v>
      </c>
      <c r="J190" s="168">
        <v>15.6</v>
      </c>
      <c r="K190" s="168">
        <f>ROUND(E190*J190,2)</f>
        <v>550.37</v>
      </c>
      <c r="L190" s="168">
        <v>21</v>
      </c>
      <c r="M190" s="168">
        <f>G190*(1+L190/100)</f>
        <v>0</v>
      </c>
      <c r="N190" s="168">
        <v>0</v>
      </c>
      <c r="O190" s="168">
        <f>ROUND(E190*N190,2)</f>
        <v>0</v>
      </c>
      <c r="P190" s="168">
        <v>0</v>
      </c>
      <c r="Q190" s="169">
        <f>ROUND(E190*P190,2)</f>
        <v>0</v>
      </c>
      <c r="R190" s="149"/>
      <c r="S190" s="149" t="s">
        <v>95</v>
      </c>
      <c r="T190" s="149" t="s">
        <v>95</v>
      </c>
      <c r="U190" s="149">
        <v>0</v>
      </c>
      <c r="V190" s="149">
        <f>ROUND(E190*U190,2)</f>
        <v>0</v>
      </c>
      <c r="W190" s="149"/>
      <c r="X190" s="149" t="s">
        <v>113</v>
      </c>
      <c r="Y190" s="183" t="s">
        <v>221</v>
      </c>
      <c r="Z190" s="183" t="s">
        <v>221</v>
      </c>
      <c r="AA190" s="144"/>
      <c r="AB190" s="144"/>
      <c r="AC190" s="144"/>
      <c r="AD190" s="144"/>
      <c r="AE190" s="144"/>
      <c r="AF190" s="144"/>
      <c r="AG190" s="144" t="s">
        <v>114</v>
      </c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</row>
    <row r="191" spans="1:60" ht="12.75" outlineLevel="1">
      <c r="A191" s="164">
        <v>64</v>
      </c>
      <c r="B191" s="165" t="s">
        <v>117</v>
      </c>
      <c r="C191" s="173" t="s">
        <v>118</v>
      </c>
      <c r="D191" s="166" t="s">
        <v>101</v>
      </c>
      <c r="E191" s="167">
        <f>E188</f>
        <v>3.9199999999999995</v>
      </c>
      <c r="F191" s="177">
        <v>0</v>
      </c>
      <c r="G191" s="168">
        <f>ROUND(E191*F191,2)</f>
        <v>0</v>
      </c>
      <c r="H191" s="168">
        <v>0</v>
      </c>
      <c r="I191" s="168">
        <f>ROUND(E191*H191,2)</f>
        <v>0</v>
      </c>
      <c r="J191" s="168">
        <v>318</v>
      </c>
      <c r="K191" s="168">
        <f>ROUND(E191*J191,2)</f>
        <v>1246.56</v>
      </c>
      <c r="L191" s="168">
        <v>21</v>
      </c>
      <c r="M191" s="168">
        <f>G191*(1+L191/100)</f>
        <v>0</v>
      </c>
      <c r="N191" s="168">
        <v>0</v>
      </c>
      <c r="O191" s="168">
        <f>ROUND(E191*N191,2)</f>
        <v>0</v>
      </c>
      <c r="P191" s="168">
        <v>0</v>
      </c>
      <c r="Q191" s="169">
        <f>ROUND(E191*P191,2)</f>
        <v>0</v>
      </c>
      <c r="R191" s="149"/>
      <c r="S191" s="149" t="s">
        <v>95</v>
      </c>
      <c r="T191" s="149" t="s">
        <v>95</v>
      </c>
      <c r="U191" s="149">
        <v>0.942</v>
      </c>
      <c r="V191" s="149">
        <f>ROUND(E191*U191,2)</f>
        <v>3.69</v>
      </c>
      <c r="W191" s="149"/>
      <c r="X191" s="149" t="s">
        <v>113</v>
      </c>
      <c r="Y191" s="183" t="s">
        <v>221</v>
      </c>
      <c r="Z191" s="183" t="s">
        <v>221</v>
      </c>
      <c r="AA191" s="144"/>
      <c r="AB191" s="144"/>
      <c r="AC191" s="144"/>
      <c r="AD191" s="144"/>
      <c r="AE191" s="144"/>
      <c r="AF191" s="144"/>
      <c r="AG191" s="144" t="s">
        <v>114</v>
      </c>
      <c r="AH191" s="144"/>
      <c r="AI191" s="144"/>
      <c r="AJ191" s="144"/>
      <c r="AK191" s="144"/>
      <c r="AL191" s="144"/>
      <c r="AM191" s="144"/>
      <c r="AN191" s="144"/>
      <c r="AO191" s="144"/>
      <c r="AP191" s="144"/>
      <c r="AQ191" s="144"/>
      <c r="AR191" s="144"/>
      <c r="AS191" s="144"/>
      <c r="AT191" s="144"/>
      <c r="AU191" s="144"/>
      <c r="AV191" s="144"/>
      <c r="AW191" s="144"/>
      <c r="AX191" s="144"/>
      <c r="AY191" s="144"/>
      <c r="AZ191" s="144"/>
      <c r="BA191" s="144"/>
      <c r="BB191" s="144"/>
      <c r="BC191" s="144"/>
      <c r="BD191" s="144"/>
      <c r="BE191" s="144"/>
      <c r="BF191" s="144"/>
      <c r="BG191" s="144"/>
      <c r="BH191" s="144"/>
    </row>
    <row r="192" spans="1:60" ht="12.75" outlineLevel="1">
      <c r="A192" s="164">
        <v>65</v>
      </c>
      <c r="B192" s="165" t="s">
        <v>181</v>
      </c>
      <c r="C192" s="173" t="s">
        <v>182</v>
      </c>
      <c r="D192" s="166" t="s">
        <v>101</v>
      </c>
      <c r="E192" s="167">
        <f>E191</f>
        <v>3.9199999999999995</v>
      </c>
      <c r="F192" s="177">
        <v>0</v>
      </c>
      <c r="G192" s="168">
        <f>ROUND(E192*F192,2)</f>
        <v>0</v>
      </c>
      <c r="H192" s="168">
        <v>0</v>
      </c>
      <c r="I192" s="168">
        <f>ROUND(E192*H192,2)</f>
        <v>0</v>
      </c>
      <c r="J192" s="168">
        <v>318</v>
      </c>
      <c r="K192" s="168">
        <f>ROUND(E192*J192,2)</f>
        <v>1246.56</v>
      </c>
      <c r="L192" s="168">
        <v>21</v>
      </c>
      <c r="M192" s="168">
        <f>G192*(1+L192/100)</f>
        <v>0</v>
      </c>
      <c r="N192" s="168">
        <v>0</v>
      </c>
      <c r="O192" s="168">
        <f>ROUND(E192*N192,2)</f>
        <v>0</v>
      </c>
      <c r="P192" s="168">
        <v>0</v>
      </c>
      <c r="Q192" s="169">
        <f>ROUND(E192*P192,2)</f>
        <v>0</v>
      </c>
      <c r="R192" s="149"/>
      <c r="S192" s="149" t="s">
        <v>95</v>
      </c>
      <c r="T192" s="149" t="s">
        <v>95</v>
      </c>
      <c r="U192" s="149">
        <v>0.942</v>
      </c>
      <c r="V192" s="149">
        <f>ROUND(E192*U192,2)</f>
        <v>3.69</v>
      </c>
      <c r="W192" s="149"/>
      <c r="X192" s="149" t="s">
        <v>113</v>
      </c>
      <c r="Y192" s="183" t="s">
        <v>221</v>
      </c>
      <c r="Z192" s="183" t="s">
        <v>221</v>
      </c>
      <c r="AA192" s="144"/>
      <c r="AB192" s="144"/>
      <c r="AC192" s="144"/>
      <c r="AD192" s="144"/>
      <c r="AE192" s="144"/>
      <c r="AF192" s="144"/>
      <c r="AG192" s="144" t="s">
        <v>114</v>
      </c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4"/>
      <c r="AT192" s="144"/>
      <c r="AU192" s="144"/>
      <c r="AV192" s="144"/>
      <c r="AW192" s="144"/>
      <c r="AX192" s="144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</row>
    <row r="193" spans="1:60" ht="22.5" outlineLevel="1">
      <c r="A193" s="158">
        <v>66</v>
      </c>
      <c r="B193" s="159" t="s">
        <v>156</v>
      </c>
      <c r="C193" s="171" t="s">
        <v>269</v>
      </c>
      <c r="D193" s="160" t="s">
        <v>101</v>
      </c>
      <c r="E193" s="161">
        <f>E188</f>
        <v>3.9199999999999995</v>
      </c>
      <c r="F193" s="185">
        <v>0</v>
      </c>
      <c r="G193" s="162">
        <f>ROUND(E193*F193,2)</f>
        <v>0</v>
      </c>
      <c r="H193" s="162">
        <v>0</v>
      </c>
      <c r="I193" s="162">
        <f>ROUND(E193*H193,2)</f>
        <v>0</v>
      </c>
      <c r="J193" s="162">
        <v>500</v>
      </c>
      <c r="K193" s="162">
        <f>ROUND(E193*J193,2)</f>
        <v>1960</v>
      </c>
      <c r="L193" s="162">
        <v>21</v>
      </c>
      <c r="M193" s="162">
        <f>G193*(1+L193/100)</f>
        <v>0</v>
      </c>
      <c r="N193" s="162">
        <v>0</v>
      </c>
      <c r="O193" s="162">
        <f>ROUND(E193*N193,2)</f>
        <v>0</v>
      </c>
      <c r="P193" s="162">
        <v>0</v>
      </c>
      <c r="Q193" s="163">
        <f>ROUND(E193*P193,2)</f>
        <v>0</v>
      </c>
      <c r="R193" s="186"/>
      <c r="S193" s="186" t="s">
        <v>95</v>
      </c>
      <c r="T193" s="186" t="s">
        <v>102</v>
      </c>
      <c r="U193" s="186">
        <v>0</v>
      </c>
      <c r="V193" s="186">
        <f>ROUND(E193*U193,2)</f>
        <v>0</v>
      </c>
      <c r="W193" s="186"/>
      <c r="X193" s="186" t="s">
        <v>113</v>
      </c>
      <c r="Y193" s="183" t="s">
        <v>221</v>
      </c>
      <c r="Z193" s="183" t="s">
        <v>221</v>
      </c>
      <c r="AA193" s="144"/>
      <c r="AB193" s="144"/>
      <c r="AC193" s="144"/>
      <c r="AD193" s="144"/>
      <c r="AE193" s="144"/>
      <c r="AF193" s="144"/>
      <c r="AG193" s="144" t="s">
        <v>114</v>
      </c>
      <c r="AH193" s="144"/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4"/>
      <c r="AT193" s="144"/>
      <c r="AU193" s="144"/>
      <c r="AV193" s="144"/>
      <c r="AW193" s="144"/>
      <c r="AX193" s="144"/>
      <c r="AY193" s="144"/>
      <c r="AZ193" s="144"/>
      <c r="BA193" s="144"/>
      <c r="BB193" s="144"/>
      <c r="BC193" s="144"/>
      <c r="BD193" s="144"/>
      <c r="BE193" s="144"/>
      <c r="BF193" s="144"/>
      <c r="BG193" s="144"/>
      <c r="BH193" s="144"/>
    </row>
    <row r="194" spans="1:33" ht="12.75">
      <c r="A194" s="153" t="s">
        <v>92</v>
      </c>
      <c r="B194" s="154" t="s">
        <v>66</v>
      </c>
      <c r="C194" s="170" t="s">
        <v>191</v>
      </c>
      <c r="D194" s="155"/>
      <c r="E194" s="156"/>
      <c r="F194" s="157"/>
      <c r="G194" s="157">
        <f>SUMIF(AG195:AG216,"&lt;&gt;NOR",G195:G216)</f>
        <v>0</v>
      </c>
      <c r="H194" s="157"/>
      <c r="I194" s="157">
        <f>SUM(I195:I211)</f>
        <v>0</v>
      </c>
      <c r="J194" s="157"/>
      <c r="K194" s="157">
        <f>SUM(K195:K211)</f>
        <v>612943.0399999999</v>
      </c>
      <c r="L194" s="157"/>
      <c r="M194" s="157">
        <f>SUM(M195:M211)</f>
        <v>0</v>
      </c>
      <c r="N194" s="157"/>
      <c r="O194" s="157">
        <f>SUM(O195:O216)</f>
        <v>0</v>
      </c>
      <c r="P194" s="157"/>
      <c r="Q194" s="178">
        <f>SUM(Q195:Q9652)</f>
        <v>0</v>
      </c>
      <c r="R194" s="152"/>
      <c r="S194" s="152"/>
      <c r="T194" s="152"/>
      <c r="U194" s="152"/>
      <c r="V194" s="152">
        <f>SUM(V195:V211)</f>
        <v>0</v>
      </c>
      <c r="W194" s="152"/>
      <c r="X194" s="152"/>
      <c r="Y194" s="178"/>
      <c r="Z194" s="184"/>
      <c r="AG194" t="s">
        <v>93</v>
      </c>
    </row>
    <row r="195" spans="1:60" ht="12.75" outlineLevel="1">
      <c r="A195" s="158">
        <v>67</v>
      </c>
      <c r="B195" s="159" t="s">
        <v>192</v>
      </c>
      <c r="C195" s="171" t="s">
        <v>193</v>
      </c>
      <c r="D195" s="160" t="s">
        <v>194</v>
      </c>
      <c r="E195" s="161">
        <v>1</v>
      </c>
      <c r="F195" s="185">
        <v>0</v>
      </c>
      <c r="G195" s="162">
        <f>ROUND(E195*F195,2)</f>
        <v>0</v>
      </c>
      <c r="H195" s="162">
        <v>0</v>
      </c>
      <c r="I195" s="162">
        <f>ROUND(E195*H195,2)</f>
        <v>0</v>
      </c>
      <c r="J195" s="162">
        <v>86134.72</v>
      </c>
      <c r="K195" s="162">
        <f>ROUND(E195*J195,2)</f>
        <v>86134.72</v>
      </c>
      <c r="L195" s="162">
        <v>21</v>
      </c>
      <c r="M195" s="162">
        <f>G195*(1+L195/100)</f>
        <v>0</v>
      </c>
      <c r="N195" s="162">
        <v>0</v>
      </c>
      <c r="O195" s="162">
        <f>ROUND(E195*N195,2)</f>
        <v>0</v>
      </c>
      <c r="P195" s="162">
        <v>0</v>
      </c>
      <c r="Q195" s="163">
        <f>ROUND(E195*P195,2)</f>
        <v>0</v>
      </c>
      <c r="R195" s="149"/>
      <c r="S195" s="149" t="s">
        <v>95</v>
      </c>
      <c r="T195" s="149" t="s">
        <v>102</v>
      </c>
      <c r="U195" s="149">
        <v>0</v>
      </c>
      <c r="V195" s="149">
        <f>ROUND(E195*U195,2)</f>
        <v>0</v>
      </c>
      <c r="W195" s="149"/>
      <c r="X195" s="149" t="s">
        <v>195</v>
      </c>
      <c r="Y195" s="183" t="s">
        <v>221</v>
      </c>
      <c r="Z195" s="183" t="s">
        <v>221</v>
      </c>
      <c r="AA195" s="144"/>
      <c r="AB195" s="144"/>
      <c r="AC195" s="144"/>
      <c r="AD195" s="144"/>
      <c r="AE195" s="144"/>
      <c r="AF195" s="144"/>
      <c r="AG195" s="144" t="s">
        <v>196</v>
      </c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4"/>
      <c r="AT195" s="144"/>
      <c r="AU195" s="144"/>
      <c r="AV195" s="144"/>
      <c r="AW195" s="144"/>
      <c r="AX195" s="144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</row>
    <row r="196" spans="1:60" ht="12.75" outlineLevel="1">
      <c r="A196" s="147"/>
      <c r="B196" s="148"/>
      <c r="C196" s="257" t="s">
        <v>197</v>
      </c>
      <c r="D196" s="258"/>
      <c r="E196" s="258"/>
      <c r="F196" s="258"/>
      <c r="G196" s="258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4"/>
      <c r="Z196" s="144"/>
      <c r="AA196" s="144"/>
      <c r="AB196" s="144"/>
      <c r="AC196" s="144"/>
      <c r="AD196" s="144"/>
      <c r="AE196" s="144"/>
      <c r="AF196" s="144"/>
      <c r="AG196" s="144" t="s">
        <v>99</v>
      </c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</row>
    <row r="197" spans="1:60" ht="12.75" outlineLevel="1">
      <c r="A197" s="158">
        <v>68</v>
      </c>
      <c r="B197" s="159" t="s">
        <v>198</v>
      </c>
      <c r="C197" s="171" t="s">
        <v>199</v>
      </c>
      <c r="D197" s="160" t="s">
        <v>194</v>
      </c>
      <c r="E197" s="161">
        <v>1</v>
      </c>
      <c r="F197" s="185">
        <v>0</v>
      </c>
      <c r="G197" s="162">
        <f>ROUND(E197*F197,2)</f>
        <v>0</v>
      </c>
      <c r="H197" s="162">
        <v>0</v>
      </c>
      <c r="I197" s="162">
        <f>ROUND(E197*H197,2)</f>
        <v>0</v>
      </c>
      <c r="J197" s="162">
        <v>86134.72</v>
      </c>
      <c r="K197" s="162">
        <f>ROUND(E197*J197,2)</f>
        <v>86134.72</v>
      </c>
      <c r="L197" s="162">
        <v>21</v>
      </c>
      <c r="M197" s="162">
        <f>G197*(1+L197/100)</f>
        <v>0</v>
      </c>
      <c r="N197" s="162">
        <v>0</v>
      </c>
      <c r="O197" s="162">
        <f>ROUND(E197*N197,2)</f>
        <v>0</v>
      </c>
      <c r="P197" s="162">
        <v>0</v>
      </c>
      <c r="Q197" s="163">
        <f>ROUND(E197*P197,2)</f>
        <v>0</v>
      </c>
      <c r="R197" s="149"/>
      <c r="S197" s="149" t="s">
        <v>95</v>
      </c>
      <c r="T197" s="149" t="s">
        <v>102</v>
      </c>
      <c r="U197" s="149">
        <v>0</v>
      </c>
      <c r="V197" s="149">
        <f>ROUND(E197*U197,2)</f>
        <v>0</v>
      </c>
      <c r="W197" s="149"/>
      <c r="X197" s="149" t="s">
        <v>195</v>
      </c>
      <c r="Y197" s="183" t="s">
        <v>221</v>
      </c>
      <c r="Z197" s="183" t="s">
        <v>221</v>
      </c>
      <c r="AA197" s="144"/>
      <c r="AB197" s="144"/>
      <c r="AC197" s="144"/>
      <c r="AD197" s="144"/>
      <c r="AE197" s="144"/>
      <c r="AF197" s="144"/>
      <c r="AG197" s="144" t="s">
        <v>196</v>
      </c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</row>
    <row r="198" spans="1:60" ht="22.5" customHeight="1" outlineLevel="1">
      <c r="A198" s="147"/>
      <c r="B198" s="148"/>
      <c r="C198" s="257" t="s">
        <v>200</v>
      </c>
      <c r="D198" s="258"/>
      <c r="E198" s="258"/>
      <c r="F198" s="258"/>
      <c r="G198" s="258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4"/>
      <c r="Z198" s="144"/>
      <c r="AA198" s="144"/>
      <c r="AB198" s="144"/>
      <c r="AC198" s="144"/>
      <c r="AD198" s="144"/>
      <c r="AE198" s="144"/>
      <c r="AF198" s="144"/>
      <c r="AG198" s="144" t="s">
        <v>99</v>
      </c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</row>
    <row r="199" spans="1:60" ht="12.75" outlineLevel="1">
      <c r="A199" s="158">
        <v>69</v>
      </c>
      <c r="B199" s="159" t="s">
        <v>201</v>
      </c>
      <c r="C199" s="171" t="s">
        <v>202</v>
      </c>
      <c r="D199" s="160" t="s">
        <v>194</v>
      </c>
      <c r="E199" s="161">
        <v>1</v>
      </c>
      <c r="F199" s="185">
        <v>0</v>
      </c>
      <c r="G199" s="162">
        <f>ROUND(E199*F199,2)</f>
        <v>0</v>
      </c>
      <c r="H199" s="162">
        <v>0</v>
      </c>
      <c r="I199" s="162">
        <f>ROUND(E199*H199,2)</f>
        <v>0</v>
      </c>
      <c r="J199" s="162">
        <v>43067.36</v>
      </c>
      <c r="K199" s="162">
        <f>ROUND(E199*J199,2)</f>
        <v>43067.36</v>
      </c>
      <c r="L199" s="162">
        <v>21</v>
      </c>
      <c r="M199" s="162">
        <f>G199*(1+L199/100)</f>
        <v>0</v>
      </c>
      <c r="N199" s="162">
        <v>0</v>
      </c>
      <c r="O199" s="162">
        <f>ROUND(E199*N199,2)</f>
        <v>0</v>
      </c>
      <c r="P199" s="162">
        <v>0</v>
      </c>
      <c r="Q199" s="163">
        <f>ROUND(E199*P199,2)</f>
        <v>0</v>
      </c>
      <c r="R199" s="149"/>
      <c r="S199" s="149" t="s">
        <v>95</v>
      </c>
      <c r="T199" s="149" t="s">
        <v>102</v>
      </c>
      <c r="U199" s="149">
        <v>0</v>
      </c>
      <c r="V199" s="149">
        <f>ROUND(E199*U199,2)</f>
        <v>0</v>
      </c>
      <c r="W199" s="149"/>
      <c r="X199" s="149" t="s">
        <v>195</v>
      </c>
      <c r="Y199" s="183" t="s">
        <v>221</v>
      </c>
      <c r="Z199" s="183" t="s">
        <v>221</v>
      </c>
      <c r="AA199" s="144"/>
      <c r="AB199" s="144"/>
      <c r="AC199" s="144"/>
      <c r="AD199" s="144"/>
      <c r="AE199" s="144"/>
      <c r="AF199" s="144"/>
      <c r="AG199" s="144" t="s">
        <v>196</v>
      </c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</row>
    <row r="200" spans="1:60" ht="22.5" outlineLevel="1">
      <c r="A200" s="147"/>
      <c r="B200" s="148"/>
      <c r="C200" s="257" t="s">
        <v>203</v>
      </c>
      <c r="D200" s="258"/>
      <c r="E200" s="258"/>
      <c r="F200" s="258"/>
      <c r="G200" s="258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  <c r="W200" s="149"/>
      <c r="X200" s="149"/>
      <c r="Y200" s="144"/>
      <c r="Z200" s="144"/>
      <c r="AA200" s="144"/>
      <c r="AB200" s="144"/>
      <c r="AC200" s="144"/>
      <c r="AD200" s="144"/>
      <c r="AE200" s="144"/>
      <c r="AF200" s="144"/>
      <c r="AG200" s="144" t="s">
        <v>99</v>
      </c>
      <c r="AH200" s="144"/>
      <c r="AI200" s="144"/>
      <c r="AJ200" s="144"/>
      <c r="AK200" s="144"/>
      <c r="AL200" s="144"/>
      <c r="AM200" s="144"/>
      <c r="AN200" s="144"/>
      <c r="AO200" s="144"/>
      <c r="AP200" s="144"/>
      <c r="AQ200" s="144"/>
      <c r="AR200" s="144"/>
      <c r="AS200" s="144"/>
      <c r="AT200" s="144"/>
      <c r="AU200" s="144"/>
      <c r="AV200" s="144"/>
      <c r="AW200" s="144"/>
      <c r="AX200" s="144"/>
      <c r="AY200" s="144"/>
      <c r="AZ200" s="144"/>
      <c r="BA200" s="196" t="str">
        <f>C200</f>
        <v>Náklady na ztížené provádění stavebních prací v důsledku nepřerušeného provozu na staveništi nebo v případech nepřerušeného provozu v objektech v nichž se stavební práce provádí.</v>
      </c>
      <c r="BB200" s="144"/>
      <c r="BC200" s="144"/>
      <c r="BD200" s="144"/>
      <c r="BE200" s="144"/>
      <c r="BF200" s="144"/>
      <c r="BG200" s="144"/>
      <c r="BH200" s="144"/>
    </row>
    <row r="201" spans="1:60" ht="12.75" outlineLevel="1">
      <c r="A201" s="158">
        <v>70</v>
      </c>
      <c r="B201" s="159" t="s">
        <v>204</v>
      </c>
      <c r="C201" s="171" t="s">
        <v>205</v>
      </c>
      <c r="D201" s="160" t="s">
        <v>194</v>
      </c>
      <c r="E201" s="161">
        <v>1</v>
      </c>
      <c r="F201" s="185">
        <v>0</v>
      </c>
      <c r="G201" s="162">
        <f>ROUND(E201*F201,2)</f>
        <v>0</v>
      </c>
      <c r="H201" s="162">
        <v>0</v>
      </c>
      <c r="I201" s="162">
        <f>ROUND(E201*H201,2)</f>
        <v>0</v>
      </c>
      <c r="J201" s="162">
        <v>86134.72</v>
      </c>
      <c r="K201" s="162">
        <f>ROUND(E201*J201,2)</f>
        <v>86134.72</v>
      </c>
      <c r="L201" s="162">
        <v>21</v>
      </c>
      <c r="M201" s="162">
        <f>G201*(1+L201/100)</f>
        <v>0</v>
      </c>
      <c r="N201" s="162">
        <v>0</v>
      </c>
      <c r="O201" s="162">
        <f>ROUND(E201*N201,2)</f>
        <v>0</v>
      </c>
      <c r="P201" s="162">
        <v>0</v>
      </c>
      <c r="Q201" s="163">
        <f>ROUND(E201*P201,2)</f>
        <v>0</v>
      </c>
      <c r="R201" s="149"/>
      <c r="S201" s="149" t="s">
        <v>95</v>
      </c>
      <c r="T201" s="149" t="s">
        <v>102</v>
      </c>
      <c r="U201" s="149">
        <v>0</v>
      </c>
      <c r="V201" s="149">
        <f>ROUND(E201*U201,2)</f>
        <v>0</v>
      </c>
      <c r="W201" s="149"/>
      <c r="X201" s="149" t="s">
        <v>195</v>
      </c>
      <c r="Y201" s="183" t="s">
        <v>221</v>
      </c>
      <c r="Z201" s="183" t="s">
        <v>221</v>
      </c>
      <c r="AA201" s="144"/>
      <c r="AB201" s="144"/>
      <c r="AC201" s="144"/>
      <c r="AD201" s="144"/>
      <c r="AE201" s="144"/>
      <c r="AF201" s="144"/>
      <c r="AG201" s="144" t="s">
        <v>196</v>
      </c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4"/>
      <c r="AT201" s="144"/>
      <c r="AU201" s="144"/>
      <c r="AV201" s="144"/>
      <c r="AW201" s="144"/>
      <c r="AX201" s="144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</row>
    <row r="202" spans="1:60" ht="21.75" customHeight="1" outlineLevel="1">
      <c r="A202" s="147"/>
      <c r="B202" s="148"/>
      <c r="C202" s="257" t="s">
        <v>206</v>
      </c>
      <c r="D202" s="258"/>
      <c r="E202" s="258"/>
      <c r="F202" s="258"/>
      <c r="G202" s="258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4"/>
      <c r="Z202" s="144"/>
      <c r="AA202" s="144"/>
      <c r="AB202" s="144"/>
      <c r="AC202" s="144"/>
      <c r="AD202" s="144"/>
      <c r="AE202" s="144"/>
      <c r="AF202" s="144"/>
      <c r="AG202" s="144" t="s">
        <v>99</v>
      </c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4"/>
      <c r="AT202" s="144"/>
      <c r="AU202" s="144"/>
      <c r="AV202" s="144"/>
      <c r="AW202" s="144"/>
      <c r="AX202" s="144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</row>
    <row r="203" spans="1:60" ht="24" customHeight="1" outlineLevel="1">
      <c r="A203" s="158">
        <v>71</v>
      </c>
      <c r="B203" s="159" t="s">
        <v>201</v>
      </c>
      <c r="C203" s="171" t="s">
        <v>270</v>
      </c>
      <c r="D203" s="160" t="s">
        <v>190</v>
      </c>
      <c r="E203" s="161">
        <v>1</v>
      </c>
      <c r="F203" s="185">
        <v>0</v>
      </c>
      <c r="G203" s="162">
        <f>ROUND(E203*F203,2)</f>
        <v>0</v>
      </c>
      <c r="H203" s="162">
        <v>0</v>
      </c>
      <c r="I203" s="162">
        <f>ROUND(E203*H203,2)</f>
        <v>0</v>
      </c>
      <c r="J203" s="162">
        <v>86134.72</v>
      </c>
      <c r="K203" s="162">
        <f>ROUND(E203*J203,2)</f>
        <v>86134.72</v>
      </c>
      <c r="L203" s="162">
        <v>21</v>
      </c>
      <c r="M203" s="162">
        <f>G203*(1+L203/100)</f>
        <v>0</v>
      </c>
      <c r="N203" s="162">
        <v>0</v>
      </c>
      <c r="O203" s="162">
        <f>ROUND(E203*N203,2)</f>
        <v>0</v>
      </c>
      <c r="P203" s="162">
        <v>0</v>
      </c>
      <c r="Q203" s="163">
        <f>ROUND(E203*P203,2)</f>
        <v>0</v>
      </c>
      <c r="R203" s="149"/>
      <c r="S203" s="149" t="s">
        <v>95</v>
      </c>
      <c r="T203" s="149" t="s">
        <v>102</v>
      </c>
      <c r="U203" s="149">
        <v>0</v>
      </c>
      <c r="V203" s="149">
        <f>ROUND(E203*U203,2)</f>
        <v>0</v>
      </c>
      <c r="W203" s="149"/>
      <c r="X203" s="149" t="s">
        <v>195</v>
      </c>
      <c r="Y203" s="183" t="s">
        <v>221</v>
      </c>
      <c r="Z203" s="183" t="s">
        <v>221</v>
      </c>
      <c r="AA203" s="144"/>
      <c r="AB203" s="144"/>
      <c r="AC203" s="144"/>
      <c r="AD203" s="144"/>
      <c r="AE203" s="144"/>
      <c r="AF203" s="144"/>
      <c r="AG203" s="144" t="s">
        <v>196</v>
      </c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4"/>
      <c r="AT203" s="144"/>
      <c r="AU203" s="144"/>
      <c r="AV203" s="144"/>
      <c r="AW203" s="144"/>
      <c r="AX203" s="144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</row>
    <row r="204" spans="1:60" ht="24.75" customHeight="1" outlineLevel="1">
      <c r="A204" s="147"/>
      <c r="B204" s="148"/>
      <c r="C204" s="257" t="s">
        <v>203</v>
      </c>
      <c r="D204" s="258"/>
      <c r="E204" s="258"/>
      <c r="F204" s="258"/>
      <c r="G204" s="258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  <c r="W204" s="149"/>
      <c r="X204" s="149"/>
      <c r="Y204" s="144"/>
      <c r="Z204" s="144"/>
      <c r="AA204" s="144"/>
      <c r="AB204" s="144"/>
      <c r="AC204" s="144"/>
      <c r="AD204" s="144"/>
      <c r="AE204" s="144"/>
      <c r="AF204" s="144"/>
      <c r="AG204" s="144" t="s">
        <v>99</v>
      </c>
      <c r="AH204" s="144"/>
      <c r="AI204" s="144"/>
      <c r="AJ204" s="144"/>
      <c r="AK204" s="144"/>
      <c r="AL204" s="144"/>
      <c r="AM204" s="144"/>
      <c r="AN204" s="144"/>
      <c r="AO204" s="144"/>
      <c r="AP204" s="144"/>
      <c r="AQ204" s="144"/>
      <c r="AR204" s="144"/>
      <c r="AS204" s="144"/>
      <c r="AT204" s="144"/>
      <c r="AU204" s="144"/>
      <c r="AV204" s="144"/>
      <c r="AW204" s="144"/>
      <c r="AX204" s="144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</row>
    <row r="205" spans="1:60" ht="12.75" outlineLevel="1">
      <c r="A205" s="158">
        <v>72</v>
      </c>
      <c r="B205" s="159" t="s">
        <v>207</v>
      </c>
      <c r="C205" s="171" t="s">
        <v>208</v>
      </c>
      <c r="D205" s="160" t="s">
        <v>194</v>
      </c>
      <c r="E205" s="161">
        <v>1</v>
      </c>
      <c r="F205" s="185">
        <v>0</v>
      </c>
      <c r="G205" s="162">
        <f>ROUND(E205*F205,2)</f>
        <v>0</v>
      </c>
      <c r="H205" s="162">
        <v>0</v>
      </c>
      <c r="I205" s="162">
        <f>ROUND(E205*H205,2)</f>
        <v>0</v>
      </c>
      <c r="J205" s="162">
        <v>43067.36</v>
      </c>
      <c r="K205" s="162">
        <f>ROUND(E205*J205,2)</f>
        <v>43067.36</v>
      </c>
      <c r="L205" s="162">
        <v>21</v>
      </c>
      <c r="M205" s="162">
        <f>G205*(1+L205/100)</f>
        <v>0</v>
      </c>
      <c r="N205" s="162">
        <v>0</v>
      </c>
      <c r="O205" s="162">
        <f>ROUND(E205*N205,2)</f>
        <v>0</v>
      </c>
      <c r="P205" s="162">
        <v>0</v>
      </c>
      <c r="Q205" s="163">
        <f>ROUND(E205*P205,2)</f>
        <v>0</v>
      </c>
      <c r="R205" s="149"/>
      <c r="S205" s="149" t="s">
        <v>95</v>
      </c>
      <c r="T205" s="149" t="s">
        <v>102</v>
      </c>
      <c r="U205" s="149">
        <v>0</v>
      </c>
      <c r="V205" s="149">
        <f>ROUND(E205*U205,2)</f>
        <v>0</v>
      </c>
      <c r="W205" s="149"/>
      <c r="X205" s="149" t="s">
        <v>195</v>
      </c>
      <c r="Y205" s="183" t="s">
        <v>221</v>
      </c>
      <c r="Z205" s="183" t="s">
        <v>221</v>
      </c>
      <c r="AA205" s="144"/>
      <c r="AB205" s="144"/>
      <c r="AC205" s="144"/>
      <c r="AD205" s="144"/>
      <c r="AE205" s="144"/>
      <c r="AF205" s="144"/>
      <c r="AG205" s="144" t="s">
        <v>196</v>
      </c>
      <c r="AH205" s="144"/>
      <c r="AI205" s="144"/>
      <c r="AJ205" s="144"/>
      <c r="AK205" s="144"/>
      <c r="AL205" s="144"/>
      <c r="AM205" s="144"/>
      <c r="AN205" s="144"/>
      <c r="AO205" s="144"/>
      <c r="AP205" s="144"/>
      <c r="AQ205" s="144"/>
      <c r="AR205" s="144"/>
      <c r="AS205" s="144"/>
      <c r="AT205" s="144"/>
      <c r="AU205" s="144"/>
      <c r="AV205" s="144"/>
      <c r="AW205" s="144"/>
      <c r="AX205" s="144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</row>
    <row r="206" spans="1:60" ht="33.75" customHeight="1" outlineLevel="1">
      <c r="A206" s="147"/>
      <c r="B206" s="148"/>
      <c r="C206" s="257" t="s">
        <v>209</v>
      </c>
      <c r="D206" s="258"/>
      <c r="E206" s="258"/>
      <c r="F206" s="258"/>
      <c r="G206" s="258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  <c r="W206" s="149"/>
      <c r="X206" s="149"/>
      <c r="Y206" s="144"/>
      <c r="Z206" s="144"/>
      <c r="AA206" s="144"/>
      <c r="AB206" s="144"/>
      <c r="AC206" s="144"/>
      <c r="AD206" s="144"/>
      <c r="AE206" s="144"/>
      <c r="AF206" s="144"/>
      <c r="AG206" s="144" t="s">
        <v>99</v>
      </c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4"/>
      <c r="AT206" s="144"/>
      <c r="AU206" s="144"/>
      <c r="AV206" s="144"/>
      <c r="AW206" s="144"/>
      <c r="AX206" s="144"/>
      <c r="AY206" s="144"/>
      <c r="AZ206" s="144"/>
      <c r="BA206" s="196" t="str">
        <f>C206</f>
        <v>Náklady na ochranu staveniště před vstupem nepovolaných osob - oplocení,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06" s="144"/>
      <c r="BC206" s="144"/>
      <c r="BD206" s="144"/>
      <c r="BE206" s="144"/>
      <c r="BF206" s="144"/>
      <c r="BG206" s="144"/>
      <c r="BH206" s="144"/>
    </row>
    <row r="207" spans="1:60" ht="12.75" outlineLevel="1">
      <c r="A207" s="158">
        <v>73</v>
      </c>
      <c r="B207" s="159" t="s">
        <v>276</v>
      </c>
      <c r="C207" s="171" t="s">
        <v>271</v>
      </c>
      <c r="D207" s="160" t="s">
        <v>190</v>
      </c>
      <c r="E207" s="161">
        <v>1</v>
      </c>
      <c r="F207" s="185">
        <v>0</v>
      </c>
      <c r="G207" s="162">
        <f>ROUND(E207*F207,2)</f>
        <v>0</v>
      </c>
      <c r="H207" s="162">
        <v>0</v>
      </c>
      <c r="I207" s="162">
        <f>ROUND(E207*H207,2)</f>
        <v>0</v>
      </c>
      <c r="J207" s="162">
        <v>86134.72</v>
      </c>
      <c r="K207" s="162">
        <f>ROUND(E207*J207,2)</f>
        <v>86134.72</v>
      </c>
      <c r="L207" s="162">
        <v>21</v>
      </c>
      <c r="M207" s="162">
        <f>G207*(1+L207/100)</f>
        <v>0</v>
      </c>
      <c r="N207" s="162">
        <v>0</v>
      </c>
      <c r="O207" s="162">
        <f>ROUND(E207*N207,2)</f>
        <v>0</v>
      </c>
      <c r="P207" s="162">
        <v>0</v>
      </c>
      <c r="Q207" s="163">
        <f>ROUND(E207*P207,2)</f>
        <v>0</v>
      </c>
      <c r="R207" s="149"/>
      <c r="S207" s="149" t="s">
        <v>95</v>
      </c>
      <c r="T207" s="149" t="s">
        <v>102</v>
      </c>
      <c r="U207" s="149">
        <v>0</v>
      </c>
      <c r="V207" s="149">
        <f>ROUND(E207*U207,2)</f>
        <v>0</v>
      </c>
      <c r="W207" s="149"/>
      <c r="X207" s="149" t="s">
        <v>195</v>
      </c>
      <c r="Y207" s="183" t="s">
        <v>105</v>
      </c>
      <c r="Z207" s="183" t="s">
        <v>102</v>
      </c>
      <c r="AA207" s="144"/>
      <c r="AB207" s="144"/>
      <c r="AC207" s="144"/>
      <c r="AD207" s="144"/>
      <c r="AE207" s="144"/>
      <c r="AF207" s="144"/>
      <c r="AG207" s="144" t="s">
        <v>196</v>
      </c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4"/>
      <c r="AT207" s="144"/>
      <c r="AU207" s="144"/>
      <c r="AV207" s="144"/>
      <c r="AW207" s="144"/>
      <c r="AX207" s="144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</row>
    <row r="208" spans="1:60" ht="23.25" customHeight="1" outlineLevel="1">
      <c r="A208" s="147"/>
      <c r="B208" s="148"/>
      <c r="C208" s="257" t="s">
        <v>272</v>
      </c>
      <c r="D208" s="258"/>
      <c r="E208" s="258"/>
      <c r="F208" s="258"/>
      <c r="G208" s="258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  <c r="W208" s="149"/>
      <c r="X208" s="149"/>
      <c r="Y208" s="144"/>
      <c r="Z208" s="144"/>
      <c r="AA208" s="144"/>
      <c r="AB208" s="144"/>
      <c r="AC208" s="144"/>
      <c r="AD208" s="144"/>
      <c r="AE208" s="144"/>
      <c r="AF208" s="144"/>
      <c r="AG208" s="144" t="s">
        <v>99</v>
      </c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144"/>
      <c r="AW208" s="144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</row>
    <row r="209" spans="1:60" ht="12.75" outlineLevel="1">
      <c r="A209" s="158">
        <v>74</v>
      </c>
      <c r="B209" s="159" t="s">
        <v>210</v>
      </c>
      <c r="C209" s="171" t="s">
        <v>211</v>
      </c>
      <c r="D209" s="160" t="s">
        <v>194</v>
      </c>
      <c r="E209" s="161">
        <v>1</v>
      </c>
      <c r="F209" s="185">
        <v>0</v>
      </c>
      <c r="G209" s="162">
        <f>ROUND(E209*F209,2)</f>
        <v>0</v>
      </c>
      <c r="H209" s="162">
        <v>0</v>
      </c>
      <c r="I209" s="162">
        <f>ROUND(E209*H209,2)</f>
        <v>0</v>
      </c>
      <c r="J209" s="162">
        <v>86134.72</v>
      </c>
      <c r="K209" s="162">
        <f>ROUND(E209*J209,2)</f>
        <v>86134.72</v>
      </c>
      <c r="L209" s="162">
        <v>21</v>
      </c>
      <c r="M209" s="162">
        <f>G209*(1+L209/100)</f>
        <v>0</v>
      </c>
      <c r="N209" s="162">
        <v>0</v>
      </c>
      <c r="O209" s="162">
        <f>ROUND(E209*N209,2)</f>
        <v>0</v>
      </c>
      <c r="P209" s="162">
        <v>0</v>
      </c>
      <c r="Q209" s="163">
        <f>ROUND(E209*P209,2)</f>
        <v>0</v>
      </c>
      <c r="R209" s="149"/>
      <c r="S209" s="149" t="s">
        <v>95</v>
      </c>
      <c r="T209" s="149" t="s">
        <v>102</v>
      </c>
      <c r="U209" s="149">
        <v>0</v>
      </c>
      <c r="V209" s="149">
        <f>ROUND(E209*U209,2)</f>
        <v>0</v>
      </c>
      <c r="W209" s="149"/>
      <c r="X209" s="149" t="s">
        <v>195</v>
      </c>
      <c r="Y209" s="183" t="s">
        <v>221</v>
      </c>
      <c r="Z209" s="183" t="s">
        <v>221</v>
      </c>
      <c r="AA209" s="144"/>
      <c r="AB209" s="144"/>
      <c r="AC209" s="144"/>
      <c r="AD209" s="144"/>
      <c r="AE209" s="144"/>
      <c r="AF209" s="144"/>
      <c r="AG209" s="144" t="s">
        <v>196</v>
      </c>
      <c r="AH209" s="144"/>
      <c r="AI209" s="144"/>
      <c r="AJ209" s="144"/>
      <c r="AK209" s="144"/>
      <c r="AL209" s="144"/>
      <c r="AM209" s="144"/>
      <c r="AN209" s="144"/>
      <c r="AO209" s="144"/>
      <c r="AP209" s="144"/>
      <c r="AQ209" s="144"/>
      <c r="AR209" s="144"/>
      <c r="AS209" s="144"/>
      <c r="AT209" s="144"/>
      <c r="AU209" s="144"/>
      <c r="AV209" s="144"/>
      <c r="AW209" s="144"/>
      <c r="AX209" s="144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</row>
    <row r="210" spans="1:60" ht="12.75" outlineLevel="1">
      <c r="A210" s="147"/>
      <c r="B210" s="148"/>
      <c r="C210" s="257" t="s">
        <v>212</v>
      </c>
      <c r="D210" s="258"/>
      <c r="E210" s="258"/>
      <c r="F210" s="258"/>
      <c r="G210" s="258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4"/>
      <c r="Z210" s="144"/>
      <c r="AA210" s="144"/>
      <c r="AB210" s="144"/>
      <c r="AC210" s="144"/>
      <c r="AD210" s="144"/>
      <c r="AE210" s="144"/>
      <c r="AF210" s="144"/>
      <c r="AG210" s="144" t="s">
        <v>99</v>
      </c>
      <c r="AH210" s="144"/>
      <c r="AI210" s="144"/>
      <c r="AJ210" s="144"/>
      <c r="AK210" s="144"/>
      <c r="AL210" s="144"/>
      <c r="AM210" s="144"/>
      <c r="AN210" s="144"/>
      <c r="AO210" s="144"/>
      <c r="AP210" s="144"/>
      <c r="AQ210" s="144"/>
      <c r="AR210" s="144"/>
      <c r="AS210" s="144"/>
      <c r="AT210" s="144"/>
      <c r="AU210" s="144"/>
      <c r="AV210" s="144"/>
      <c r="AW210" s="144"/>
      <c r="AX210" s="144"/>
      <c r="AY210" s="144"/>
      <c r="AZ210" s="144"/>
      <c r="BA210" s="144"/>
      <c r="BB210" s="144"/>
      <c r="BC210" s="144"/>
      <c r="BD210" s="144"/>
      <c r="BE210" s="144"/>
      <c r="BF210" s="144"/>
      <c r="BG210" s="144"/>
      <c r="BH210" s="144"/>
    </row>
    <row r="211" spans="1:60" ht="12.75" outlineLevel="1">
      <c r="A211" s="158">
        <v>75</v>
      </c>
      <c r="B211" s="159" t="s">
        <v>213</v>
      </c>
      <c r="C211" s="171" t="s">
        <v>214</v>
      </c>
      <c r="D211" s="160" t="s">
        <v>194</v>
      </c>
      <c r="E211" s="161">
        <v>1</v>
      </c>
      <c r="F211" s="185">
        <v>0</v>
      </c>
      <c r="G211" s="162">
        <f>ROUND(E211*F211,2)</f>
        <v>0</v>
      </c>
      <c r="H211" s="162">
        <v>0</v>
      </c>
      <c r="I211" s="162">
        <f>ROUND(E211*H211,2)</f>
        <v>0</v>
      </c>
      <c r="J211" s="162">
        <v>10000</v>
      </c>
      <c r="K211" s="162">
        <f>ROUND(E211*J211,2)</f>
        <v>10000</v>
      </c>
      <c r="L211" s="162">
        <v>21</v>
      </c>
      <c r="M211" s="162">
        <f>G211*(1+L211/100)</f>
        <v>0</v>
      </c>
      <c r="N211" s="162">
        <v>0</v>
      </c>
      <c r="O211" s="162">
        <f>ROUND(E211*N211,2)</f>
        <v>0</v>
      </c>
      <c r="P211" s="162">
        <v>0</v>
      </c>
      <c r="Q211" s="163">
        <f>ROUND(E211*P211,2)</f>
        <v>0</v>
      </c>
      <c r="R211" s="149"/>
      <c r="S211" s="149" t="s">
        <v>105</v>
      </c>
      <c r="T211" s="149" t="s">
        <v>102</v>
      </c>
      <c r="U211" s="149">
        <v>0</v>
      </c>
      <c r="V211" s="149">
        <f>ROUND(E211*U211,2)</f>
        <v>0</v>
      </c>
      <c r="W211" s="149"/>
      <c r="X211" s="149" t="s">
        <v>195</v>
      </c>
      <c r="Y211" s="183" t="s">
        <v>221</v>
      </c>
      <c r="Z211" s="183" t="s">
        <v>221</v>
      </c>
      <c r="AA211" s="144"/>
      <c r="AB211" s="144"/>
      <c r="AC211" s="144"/>
      <c r="AD211" s="144"/>
      <c r="AE211" s="144"/>
      <c r="AF211" s="144"/>
      <c r="AG211" s="144" t="s">
        <v>215</v>
      </c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4"/>
      <c r="AT211" s="144"/>
      <c r="AU211" s="144"/>
      <c r="AV211" s="144"/>
      <c r="AW211" s="144"/>
      <c r="AX211" s="144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</row>
    <row r="212" spans="1:60" ht="21.75" customHeight="1" outlineLevel="1">
      <c r="A212" s="147"/>
      <c r="B212" s="148"/>
      <c r="C212" s="257" t="s">
        <v>216</v>
      </c>
      <c r="D212" s="258"/>
      <c r="E212" s="258"/>
      <c r="F212" s="258"/>
      <c r="G212" s="258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  <c r="W212" s="149"/>
      <c r="X212" s="149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4"/>
      <c r="AT212" s="144"/>
      <c r="AU212" s="144"/>
      <c r="AV212" s="144"/>
      <c r="AW212" s="144"/>
      <c r="AX212" s="144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</row>
    <row r="213" spans="1:60" ht="12.75" outlineLevel="1">
      <c r="A213" s="158">
        <v>76</v>
      </c>
      <c r="B213" s="159" t="s">
        <v>273</v>
      </c>
      <c r="C213" s="171" t="s">
        <v>274</v>
      </c>
      <c r="D213" s="160" t="s">
        <v>190</v>
      </c>
      <c r="E213" s="161">
        <v>1</v>
      </c>
      <c r="F213" s="185">
        <v>0</v>
      </c>
      <c r="G213" s="162">
        <f>ROUND(E213*F213,2)</f>
        <v>0</v>
      </c>
      <c r="H213" s="162">
        <v>0</v>
      </c>
      <c r="I213" s="162">
        <f>ROUND(E213*H213,2)</f>
        <v>0</v>
      </c>
      <c r="J213" s="162">
        <v>86134.72</v>
      </c>
      <c r="K213" s="162">
        <f>ROUND(E213*J213,2)</f>
        <v>86134.72</v>
      </c>
      <c r="L213" s="162">
        <v>21</v>
      </c>
      <c r="M213" s="162">
        <f>G213*(1+L213/100)</f>
        <v>0</v>
      </c>
      <c r="N213" s="162">
        <v>0</v>
      </c>
      <c r="O213" s="162">
        <f>ROUND(E213*N213,2)</f>
        <v>0</v>
      </c>
      <c r="P213" s="162">
        <v>0</v>
      </c>
      <c r="Q213" s="163">
        <f>ROUND(E213*P213,2)</f>
        <v>0</v>
      </c>
      <c r="R213" s="149"/>
      <c r="S213" s="149" t="s">
        <v>95</v>
      </c>
      <c r="T213" s="149" t="s">
        <v>102</v>
      </c>
      <c r="U213" s="149">
        <v>0</v>
      </c>
      <c r="V213" s="149">
        <f>ROUND(E213*U213,2)</f>
        <v>0</v>
      </c>
      <c r="W213" s="149"/>
      <c r="X213" s="149" t="s">
        <v>195</v>
      </c>
      <c r="Y213" s="183" t="s">
        <v>221</v>
      </c>
      <c r="Z213" s="183" t="s">
        <v>221</v>
      </c>
      <c r="AA213" s="144"/>
      <c r="AB213" s="144"/>
      <c r="AC213" s="144"/>
      <c r="AD213" s="144"/>
      <c r="AE213" s="144"/>
      <c r="AF213" s="144"/>
      <c r="AG213" s="144" t="s">
        <v>196</v>
      </c>
      <c r="AH213" s="144"/>
      <c r="AI213" s="144"/>
      <c r="AJ213" s="144"/>
      <c r="AK213" s="144"/>
      <c r="AL213" s="144"/>
      <c r="AM213" s="144"/>
      <c r="AN213" s="144"/>
      <c r="AO213" s="144"/>
      <c r="AP213" s="144"/>
      <c r="AQ213" s="144"/>
      <c r="AR213" s="144"/>
      <c r="AS213" s="144"/>
      <c r="AT213" s="144"/>
      <c r="AU213" s="144"/>
      <c r="AV213" s="144"/>
      <c r="AW213" s="144"/>
      <c r="AX213" s="144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</row>
    <row r="214" spans="1:60" ht="12.75" outlineLevel="1">
      <c r="A214" s="147"/>
      <c r="B214" s="148"/>
      <c r="C214" s="257" t="s">
        <v>275</v>
      </c>
      <c r="D214" s="258"/>
      <c r="E214" s="258"/>
      <c r="F214" s="258"/>
      <c r="G214" s="258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  <c r="W214" s="149"/>
      <c r="X214" s="149"/>
      <c r="Y214" s="144"/>
      <c r="Z214" s="144"/>
      <c r="AA214" s="144"/>
      <c r="AB214" s="144"/>
      <c r="AC214" s="144"/>
      <c r="AD214" s="144"/>
      <c r="AE214" s="144"/>
      <c r="AF214" s="144"/>
      <c r="AG214" s="144" t="s">
        <v>99</v>
      </c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4"/>
      <c r="AT214" s="144"/>
      <c r="AU214" s="144"/>
      <c r="AV214" s="144"/>
      <c r="AW214" s="144"/>
      <c r="AX214" s="144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</row>
    <row r="215" spans="1:60" ht="12.75" outlineLevel="1">
      <c r="A215" s="158">
        <v>77</v>
      </c>
      <c r="B215" s="159" t="s">
        <v>217</v>
      </c>
      <c r="C215" s="171" t="s">
        <v>218</v>
      </c>
      <c r="D215" s="160" t="s">
        <v>194</v>
      </c>
      <c r="E215" s="161">
        <v>1</v>
      </c>
      <c r="F215" s="185">
        <v>0</v>
      </c>
      <c r="G215" s="162">
        <f>ROUND(E215*F215,2)</f>
        <v>0</v>
      </c>
      <c r="H215" s="162">
        <v>0</v>
      </c>
      <c r="I215" s="162">
        <f>ROUND(E215*H215,2)</f>
        <v>0</v>
      </c>
      <c r="J215" s="162">
        <v>86134.72</v>
      </c>
      <c r="K215" s="162">
        <f>ROUND(E215*J215,2)</f>
        <v>86134.72</v>
      </c>
      <c r="L215" s="162">
        <v>21</v>
      </c>
      <c r="M215" s="162">
        <f>G215*(1+L215/100)</f>
        <v>0</v>
      </c>
      <c r="N215" s="162">
        <v>0</v>
      </c>
      <c r="O215" s="162">
        <f>ROUND(E215*N215,2)</f>
        <v>0</v>
      </c>
      <c r="P215" s="162">
        <v>0</v>
      </c>
      <c r="Q215" s="163">
        <f>ROUND(E215*P215,2)</f>
        <v>0</v>
      </c>
      <c r="R215" s="149"/>
      <c r="S215" s="149" t="s">
        <v>95</v>
      </c>
      <c r="T215" s="149" t="s">
        <v>102</v>
      </c>
      <c r="U215" s="149">
        <v>0</v>
      </c>
      <c r="V215" s="149">
        <f>ROUND(E215*U215,2)</f>
        <v>0</v>
      </c>
      <c r="W215" s="149"/>
      <c r="X215" s="149" t="s">
        <v>195</v>
      </c>
      <c r="Y215" s="183" t="s">
        <v>221</v>
      </c>
      <c r="Z215" s="183" t="s">
        <v>221</v>
      </c>
      <c r="AA215" s="144"/>
      <c r="AB215" s="144"/>
      <c r="AC215" s="144"/>
      <c r="AD215" s="144"/>
      <c r="AE215" s="144"/>
      <c r="AF215" s="144"/>
      <c r="AG215" s="144" t="s">
        <v>196</v>
      </c>
      <c r="AH215" s="144"/>
      <c r="AI215" s="144"/>
      <c r="AJ215" s="144"/>
      <c r="AK215" s="144"/>
      <c r="AL215" s="144"/>
      <c r="AM215" s="144"/>
      <c r="AN215" s="144"/>
      <c r="AO215" s="144"/>
      <c r="AP215" s="144"/>
      <c r="AQ215" s="144"/>
      <c r="AR215" s="144"/>
      <c r="AS215" s="144"/>
      <c r="AT215" s="144"/>
      <c r="AU215" s="144"/>
      <c r="AV215" s="144"/>
      <c r="AW215" s="144"/>
      <c r="AX215" s="144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</row>
    <row r="216" spans="1:60" ht="12.75" outlineLevel="1">
      <c r="A216" s="147"/>
      <c r="B216" s="148"/>
      <c r="C216" s="257" t="s">
        <v>219</v>
      </c>
      <c r="D216" s="258"/>
      <c r="E216" s="258"/>
      <c r="F216" s="258"/>
      <c r="G216" s="258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  <c r="W216" s="149"/>
      <c r="X216" s="149"/>
      <c r="Y216" s="144"/>
      <c r="Z216" s="144"/>
      <c r="AA216" s="144"/>
      <c r="AB216" s="144"/>
      <c r="AC216" s="144"/>
      <c r="AD216" s="144"/>
      <c r="AE216" s="144"/>
      <c r="AF216" s="144"/>
      <c r="AG216" s="144" t="s">
        <v>99</v>
      </c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4"/>
      <c r="AT216" s="144"/>
      <c r="AU216" s="144"/>
      <c r="AV216" s="144"/>
      <c r="AW216" s="144"/>
      <c r="AX216" s="144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</row>
    <row r="217" spans="1:24" ht="13.5" thickBot="1">
      <c r="A217" s="3"/>
      <c r="B217" s="4"/>
      <c r="C217" s="174"/>
      <c r="D217" s="6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2:33" s="194" customFormat="1" ht="16.5" thickBot="1" thickTop="1">
      <c r="B218" s="187"/>
      <c r="C218" s="188" t="s">
        <v>155</v>
      </c>
      <c r="D218" s="189"/>
      <c r="E218" s="190"/>
      <c r="F218" s="191"/>
      <c r="G218" s="192">
        <f>G8+G31+G64+G95+G100+G103+G115+G136+G138+G145+G154+G171+G187+G194</f>
        <v>0</v>
      </c>
      <c r="H218" s="193"/>
      <c r="I218" s="193">
        <f>SUM(I219:I230)</f>
        <v>0</v>
      </c>
      <c r="J218" s="193"/>
      <c r="K218" s="193">
        <f>SUM(K219:K230)</f>
        <v>0</v>
      </c>
      <c r="L218" s="193"/>
      <c r="M218" s="193">
        <f>SUM(M219:M230)</f>
        <v>0</v>
      </c>
      <c r="R218" s="195"/>
      <c r="S218" s="195"/>
      <c r="T218" s="195"/>
      <c r="U218" s="195"/>
      <c r="V218" s="195">
        <f>SUM(V219:V230)</f>
        <v>0</v>
      </c>
      <c r="W218" s="195"/>
      <c r="X218" s="195"/>
      <c r="AG218" s="194" t="s">
        <v>93</v>
      </c>
    </row>
    <row r="219" ht="13.5" thickTop="1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</sheetData>
  <sheetProtection/>
  <mergeCells count="36">
    <mergeCell ref="C25:G25"/>
    <mergeCell ref="C206:G206"/>
    <mergeCell ref="C210:G210"/>
    <mergeCell ref="C204:G204"/>
    <mergeCell ref="C208:G208"/>
    <mergeCell ref="C13:G13"/>
    <mergeCell ref="C16:G16"/>
    <mergeCell ref="C19:G19"/>
    <mergeCell ref="C22:G22"/>
    <mergeCell ref="C40:G40"/>
    <mergeCell ref="C52:G52"/>
    <mergeCell ref="C169:G169"/>
    <mergeCell ref="C156:G156"/>
    <mergeCell ref="C159:G159"/>
    <mergeCell ref="C212:G212"/>
    <mergeCell ref="C71:G71"/>
    <mergeCell ref="C163:G163"/>
    <mergeCell ref="C216:G216"/>
    <mergeCell ref="C196:G196"/>
    <mergeCell ref="C198:G198"/>
    <mergeCell ref="C200:G200"/>
    <mergeCell ref="C202:G202"/>
    <mergeCell ref="C140:G140"/>
    <mergeCell ref="C147:G147"/>
    <mergeCell ref="C149:G149"/>
    <mergeCell ref="C151:G151"/>
    <mergeCell ref="C37:G37"/>
    <mergeCell ref="C49:G49"/>
    <mergeCell ref="C214:G214"/>
    <mergeCell ref="C189:G189"/>
    <mergeCell ref="A1:G1"/>
    <mergeCell ref="C2:G2"/>
    <mergeCell ref="C3:G3"/>
    <mergeCell ref="C4:G4"/>
    <mergeCell ref="C43:G43"/>
    <mergeCell ref="C10:G10"/>
  </mergeCells>
  <hyperlinks>
    <hyperlink ref="C158" r:id="rId1" tooltip="Detail položky" display="javascript:;"/>
    <hyperlink ref="C166" r:id="rId2" tooltip="Detail položky" display="javascript:;"/>
  </hyperlinks>
  <printOptions/>
  <pageMargins left="0.590551181102362" right="0.196850393700787" top="0.787401575" bottom="0.787401575" header="0.3" footer="0.3"/>
  <pageSetup horizontalDpi="600" verticalDpi="600" orientation="landscape" paperSize="9" r:id="rId5"/>
  <headerFooter>
    <oddFooter>&amp;LZpracováno programem BUILDpower S,  © RTS, a.s.&amp;RStránka &amp;P z &amp;N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Tomáš Sýkora</cp:lastModifiedBy>
  <cp:lastPrinted>2023-11-22T08:37:34Z</cp:lastPrinted>
  <dcterms:created xsi:type="dcterms:W3CDTF">2009-04-08T07:15:50Z</dcterms:created>
  <dcterms:modified xsi:type="dcterms:W3CDTF">2024-03-04T18:41:50Z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