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5" windowHeight="12000" activeTab="1"/>
  </bookViews>
  <sheets>
    <sheet name="Vykaz vymer rozdelovac" sheetId="1" r:id="rId1"/>
    <sheet name="Krycí list topeni" sheetId="2" r:id="rId2"/>
    <sheet name="VORN" sheetId="3" state="hidden" r:id="rId3"/>
  </sheets>
  <definedNames>
    <definedName name="vorn_sum">'VORN'!$I$36</definedName>
  </definedNames>
  <calcPr fullCalcOnLoad="1"/>
</workbook>
</file>

<file path=xl/sharedStrings.xml><?xml version="1.0" encoding="utf-8"?>
<sst xmlns="http://schemas.openxmlformats.org/spreadsheetml/2006/main" count="1243" uniqueCount="429">
  <si>
    <t>92</t>
  </si>
  <si>
    <t>oběhové čerpadlo s el. řízením otáček,    25-80, 230V</t>
  </si>
  <si>
    <t>Doba výstavby:</t>
  </si>
  <si>
    <t>734245127R00</t>
  </si>
  <si>
    <t>Projektant</t>
  </si>
  <si>
    <t>67</t>
  </si>
  <si>
    <t>Základ 15%</t>
  </si>
  <si>
    <t>733191928R00</t>
  </si>
  <si>
    <t>Montáž armatur závitových,se 2závity, G 2 1/2</t>
  </si>
  <si>
    <t>Montáž čerpadel oběhových spirálních, DN 40</t>
  </si>
  <si>
    <t>734209126R00</t>
  </si>
  <si>
    <t>450-009VD</t>
  </si>
  <si>
    <t>979990144R00</t>
  </si>
  <si>
    <t>Izolace tepelná potrubí rohožemi a drátem 1vrstvá</t>
  </si>
  <si>
    <t>450-015VD</t>
  </si>
  <si>
    <t>91</t>
  </si>
  <si>
    <t>734209127R00</t>
  </si>
  <si>
    <t>87</t>
  </si>
  <si>
    <t>230170011R00</t>
  </si>
  <si>
    <t>Základ 21%</t>
  </si>
  <si>
    <t>20</t>
  </si>
  <si>
    <t>Dodávka</t>
  </si>
  <si>
    <t>NUS celkem z obj.</t>
  </si>
  <si>
    <t>Odřezání třmenových držáků potrubí do D 76</t>
  </si>
  <si>
    <t>trojcestný směšovací ventil  VXP45.20-4</t>
  </si>
  <si>
    <t>450-011VD</t>
  </si>
  <si>
    <t>Nátěr syntetický kovových konstrukcí 2x + 1x email</t>
  </si>
  <si>
    <t>734290814R00</t>
  </si>
  <si>
    <t>Demontáž potrubí ocelového závitového do DN 15-32</t>
  </si>
  <si>
    <t>Název stavby:</t>
  </si>
  <si>
    <t>Ostatní materiál</t>
  </si>
  <si>
    <t>732420815R00</t>
  </si>
  <si>
    <t>48</t>
  </si>
  <si>
    <t>29</t>
  </si>
  <si>
    <t>Č</t>
  </si>
  <si>
    <t>Kohout kulový,2xvnitřní záv.  DN 40</t>
  </si>
  <si>
    <t>Poznámka:</t>
  </si>
  <si>
    <t>Lokalita:</t>
  </si>
  <si>
    <t>79</t>
  </si>
  <si>
    <t>71</t>
  </si>
  <si>
    <t>16</t>
  </si>
  <si>
    <t>PSV</t>
  </si>
  <si>
    <t>24</t>
  </si>
  <si>
    <t>Demontáž armatur směšovacích.3cest. Mix A, DN 25</t>
  </si>
  <si>
    <t>Bez pevné podl.</t>
  </si>
  <si>
    <t>733_</t>
  </si>
  <si>
    <t>Celkem</t>
  </si>
  <si>
    <t>Zařízení staveniště</t>
  </si>
  <si>
    <t>43-02VD</t>
  </si>
  <si>
    <t>4</t>
  </si>
  <si>
    <t>97</t>
  </si>
  <si>
    <t>94</t>
  </si>
  <si>
    <t>60</t>
  </si>
  <si>
    <t>Základní rozpočtové náklady</t>
  </si>
  <si>
    <t>26</t>
  </si>
  <si>
    <t>734290812R00</t>
  </si>
  <si>
    <t>733110808R00</t>
  </si>
  <si>
    <t>733191823R00</t>
  </si>
  <si>
    <t>31.08.2024</t>
  </si>
  <si>
    <t>734411143R00</t>
  </si>
  <si>
    <t>430-065VD</t>
  </si>
  <si>
    <t>Celkem bez DPH</t>
  </si>
  <si>
    <t>trojcestný směšovací ventil  VXP45.32-16</t>
  </si>
  <si>
    <t>Vedlejší a ostatní rozpočtové náklady</t>
  </si>
  <si>
    <t>oběhové čerpadlo s el. řízením otáček,   25-60, 230V PN10</t>
  </si>
  <si>
    <t>Potrubní pouzdro  tl. 50 mm, DN 28</t>
  </si>
  <si>
    <t>6</t>
  </si>
  <si>
    <t>Rozpočtové náklady v Kč</t>
  </si>
  <si>
    <t>733110806R00</t>
  </si>
  <si>
    <t>68</t>
  </si>
  <si>
    <t>734209115R00</t>
  </si>
  <si>
    <t>81</t>
  </si>
  <si>
    <t>Rozpojení přírubového spoje DN 100</t>
  </si>
  <si>
    <t>B</t>
  </si>
  <si>
    <t>Náklady na umístění stavby (NUS)</t>
  </si>
  <si>
    <t>42</t>
  </si>
  <si>
    <t>82</t>
  </si>
  <si>
    <t>Montáž</t>
  </si>
  <si>
    <t>734_</t>
  </si>
  <si>
    <t>Datum, razítko a podpis</t>
  </si>
  <si>
    <t>ZRN celkem</t>
  </si>
  <si>
    <t>Kondenzační smyčky ČSN 13 7531.1- zahnuté</t>
  </si>
  <si>
    <t>Montáž armatur závitových,se 2závity, G 1/2</t>
  </si>
  <si>
    <t>734209125R00</t>
  </si>
  <si>
    <t>734494213R00</t>
  </si>
  <si>
    <t>Demontáž teploměrů dvojkovových</t>
  </si>
  <si>
    <t>Montáž armatur závitových,s 1závitem, G 1/2</t>
  </si>
  <si>
    <t>69</t>
  </si>
  <si>
    <t>33</t>
  </si>
  <si>
    <t>734421130R00</t>
  </si>
  <si>
    <t>734410841R00</t>
  </si>
  <si>
    <t>DPH 15%</t>
  </si>
  <si>
    <t>78</t>
  </si>
  <si>
    <t>402-002VD</t>
  </si>
  <si>
    <t>63</t>
  </si>
  <si>
    <t>Ventil zpětný,2xvnitřní závit  DN 50</t>
  </si>
  <si>
    <t>783_</t>
  </si>
  <si>
    <t>Základna</t>
  </si>
  <si>
    <t>25</t>
  </si>
  <si>
    <t>kus</t>
  </si>
  <si>
    <t>783225100R00</t>
  </si>
  <si>
    <t>Dodávky</t>
  </si>
  <si>
    <t>soustava</t>
  </si>
  <si>
    <t>734295216R00</t>
  </si>
  <si>
    <t>Ostatní mat.</t>
  </si>
  <si>
    <t>Ventil zpětný,2xvnitřní závit  DN 25</t>
  </si>
  <si>
    <t>733124119R00</t>
  </si>
  <si>
    <t>Cenová</t>
  </si>
  <si>
    <t>HSV prac</t>
  </si>
  <si>
    <t>pohon 24V, pro trojcestný sm.ventil VXP45.</t>
  </si>
  <si>
    <t>Potrubí závit. zesílené nízkot. v kotelnách DN 40</t>
  </si>
  <si>
    <t>230072006R00</t>
  </si>
  <si>
    <t>13</t>
  </si>
  <si>
    <t>734190818R00</t>
  </si>
  <si>
    <t>"M"</t>
  </si>
  <si>
    <t>Repase šoupátek do PN 40, DN 65 (uzavír. klapek mezipřírubových)</t>
  </si>
  <si>
    <t>VORN celkem z obj.</t>
  </si>
  <si>
    <t>Odřezání třmenových držáků potrubí do D 44,5</t>
  </si>
  <si>
    <t>Nátěr syntetický potrubí do DN 100 mm základní</t>
  </si>
  <si>
    <t>Cena/MJ</t>
  </si>
  <si>
    <t>Montáž přírub. armatur, 2 příruby, PN 6, DN 100</t>
  </si>
  <si>
    <t>734209124R00</t>
  </si>
  <si>
    <t>Konec výstavby:</t>
  </si>
  <si>
    <t>12. ZŠ  Mikoláše  Alše  558  Zlín,  Podhoří</t>
  </si>
  <si>
    <t>Kód</t>
  </si>
  <si>
    <t>43</t>
  </si>
  <si>
    <t>vypouštěcí kohout  1/2</t>
  </si>
  <si>
    <t>Demontáž armatur s 1závitem do G 1</t>
  </si>
  <si>
    <t>Demontáž armatur se 2závity do G 2</t>
  </si>
  <si>
    <t>soubor</t>
  </si>
  <si>
    <t>MJ</t>
  </si>
  <si>
    <t>45</t>
  </si>
  <si>
    <t>998713101R00</t>
  </si>
  <si>
    <t>40</t>
  </si>
  <si>
    <t>Potrubní pouzdro tl. 50 mm, DN 60</t>
  </si>
  <si>
    <t>734235127R00</t>
  </si>
  <si>
    <t>Filtr, vnitřní-vnitřní  DN 40</t>
  </si>
  <si>
    <t>Celkem ORN</t>
  </si>
  <si>
    <t>734200812R00</t>
  </si>
  <si>
    <t>Montáž armatur závitových,se 3závity, G 3/4</t>
  </si>
  <si>
    <t>Doplňkové náklady</t>
  </si>
  <si>
    <t>Montáž orientačního štítku</t>
  </si>
  <si>
    <t>733120826R00</t>
  </si>
  <si>
    <t>PSV prac</t>
  </si>
  <si>
    <t>HSV</t>
  </si>
  <si>
    <t>Vedlejší rozpočtové náklady VRN</t>
  </si>
  <si>
    <t>9</t>
  </si>
  <si>
    <t>733190107R00</t>
  </si>
  <si>
    <t>Tlaková zkouška potrubí ocel.hladkého DN 89/3,6</t>
  </si>
  <si>
    <t>15</t>
  </si>
  <si>
    <t>Demontáž čerpadel oběhových spirálních do DN 80</t>
  </si>
  <si>
    <t>95</t>
  </si>
  <si>
    <t>ISWORK</t>
  </si>
  <si>
    <t>Celkem včetně DPH</t>
  </si>
  <si>
    <t>Celkem NUS</t>
  </si>
  <si>
    <t>Montáž armatur závitových,se 2závity, G 6/4</t>
  </si>
  <si>
    <t>Základ 0%</t>
  </si>
  <si>
    <t>52</t>
  </si>
  <si>
    <t>734235125R00</t>
  </si>
  <si>
    <t>51</t>
  </si>
  <si>
    <t>734410821R00</t>
  </si>
  <si>
    <t>Mont prac</t>
  </si>
  <si>
    <t>422606262</t>
  </si>
  <si>
    <t>Filtr, vnitřní-vnitřní z.  DN 25</t>
  </si>
  <si>
    <t>44</t>
  </si>
  <si>
    <t>78_</t>
  </si>
  <si>
    <t>05.01.2024</t>
  </si>
  <si>
    <t>23</t>
  </si>
  <si>
    <t>733191925R00</t>
  </si>
  <si>
    <t>59</t>
  </si>
  <si>
    <t>734209103R00</t>
  </si>
  <si>
    <t>t</t>
  </si>
  <si>
    <t>732_</t>
  </si>
  <si>
    <t>783424740R00</t>
  </si>
  <si>
    <t>53</t>
  </si>
  <si>
    <t>734391114R00</t>
  </si>
  <si>
    <t>734235126R00</t>
  </si>
  <si>
    <t>998734103R00</t>
  </si>
  <si>
    <t>734209118R00</t>
  </si>
  <si>
    <t>JKSO:</t>
  </si>
  <si>
    <t>Zhotov.přechodu z trub.hladkých kováním 65/40 (65/50)</t>
  </si>
  <si>
    <t>Potrubí hladké bezešvé v kotelnách D 57/2,9</t>
  </si>
  <si>
    <t>85</t>
  </si>
  <si>
    <t>402-003VD</t>
  </si>
  <si>
    <t>64</t>
  </si>
  <si>
    <t>42600031VD</t>
  </si>
  <si>
    <t>Montáž přírubových armatur, 2 příruby, PN 6, DN 65</t>
  </si>
  <si>
    <t>Demontáž armatur s 1závitem do G 1/2</t>
  </si>
  <si>
    <t>713400821R00</t>
  </si>
  <si>
    <t>Demontáž potrubí z hladkých trubek DN 89</t>
  </si>
  <si>
    <t>Poplatek za skládku suti - minerální vata</t>
  </si>
  <si>
    <t>Ventil odvzdušňovací 12163 G 1/2"</t>
  </si>
  <si>
    <t>402-001VD</t>
  </si>
  <si>
    <t>Drobný spojovací materiál pro potrubí-armatury na potrubí do DN40</t>
  </si>
  <si>
    <t>77</t>
  </si>
  <si>
    <t>Demontáž teploměrů tlak.indikačních dálkových</t>
  </si>
  <si>
    <t>DN celkem</t>
  </si>
  <si>
    <t>GROUPCODE</t>
  </si>
  <si>
    <t>734209113R00</t>
  </si>
  <si>
    <t>Nátěr syntetický potrubí do DN 50 mm základní</t>
  </si>
  <si>
    <t>Provozní vlivy</t>
  </si>
  <si>
    <t>5</t>
  </si>
  <si>
    <t>Druh stavby:</t>
  </si>
  <si>
    <t>732420812R00</t>
  </si>
  <si>
    <t>713411111R00</t>
  </si>
  <si>
    <t>96</t>
  </si>
  <si>
    <t>Zpracováno dne:</t>
  </si>
  <si>
    <t>Přesun hmot pro armatury, výšky do 24 m</t>
  </si>
  <si>
    <t>783</t>
  </si>
  <si>
    <t>10</t>
  </si>
  <si>
    <t>58</t>
  </si>
  <si>
    <t>Demontáž potrubí z hladkých trubek D 60,3</t>
  </si>
  <si>
    <t>36</t>
  </si>
  <si>
    <t>14</t>
  </si>
  <si>
    <t>732199100RM1</t>
  </si>
  <si>
    <t>31</t>
  </si>
  <si>
    <t>84</t>
  </si>
  <si>
    <t>Množství</t>
  </si>
  <si>
    <t>38</t>
  </si>
  <si>
    <t>VORN celkem</t>
  </si>
  <si>
    <t>734109117R00</t>
  </si>
  <si>
    <t>Ventil zpětný,2xvnitřní závit  DN 65</t>
  </si>
  <si>
    <t>Typ skupiny</t>
  </si>
  <si>
    <t>73</t>
  </si>
  <si>
    <t>734200811R00</t>
  </si>
  <si>
    <t>Montáž armatur závitových,se 3závity, G 5/4</t>
  </si>
  <si>
    <t>56</t>
  </si>
  <si>
    <t>19</t>
  </si>
  <si>
    <t>C</t>
  </si>
  <si>
    <t>Tlakoměr deformační 0-10 MPa č. 03313, D 160</t>
  </si>
  <si>
    <t>Kohout kulový,2xvnitřní záv.  DN 50</t>
  </si>
  <si>
    <t>Náklady (Kč)</t>
  </si>
  <si>
    <t>Kulový kohout , G 1/2" (před AOV)</t>
  </si>
  <si>
    <t>39</t>
  </si>
  <si>
    <t>30</t>
  </si>
  <si>
    <t>IČO/DIČ:</t>
  </si>
  <si>
    <t>Ostatní</t>
  </si>
  <si>
    <t>734200824R00</t>
  </si>
  <si>
    <t>ing. Rudolf Ženožička</t>
  </si>
  <si>
    <t>86</t>
  </si>
  <si>
    <t>Armatury</t>
  </si>
  <si>
    <t>733111115R00</t>
  </si>
  <si>
    <t>55</t>
  </si>
  <si>
    <t>Zpracoval:</t>
  </si>
  <si>
    <t>732</t>
  </si>
  <si>
    <t>76</t>
  </si>
  <si>
    <t>Ventil odvzdušňovací ruční  3/8"</t>
  </si>
  <si>
    <t>01.07.2024</t>
  </si>
  <si>
    <t>Zhotovitel</t>
  </si>
  <si>
    <t>Demontáž potrubí ocelového závitového do DN 32-50</t>
  </si>
  <si>
    <t>RTS I / 2023</t>
  </si>
  <si>
    <t>2</t>
  </si>
  <si>
    <t>Projektant:</t>
  </si>
  <si>
    <t>Montáž armatur závitových,se 3závity, G 6/4</t>
  </si>
  <si>
    <t>734100812R00</t>
  </si>
  <si>
    <t/>
  </si>
  <si>
    <t>ing. Ženožička</t>
  </si>
  <si>
    <t>17</t>
  </si>
  <si>
    <t>Montáž armatur závitových,se 2závity, G 1</t>
  </si>
  <si>
    <t>Demontáž armatur se dvěma přírubami do DN 100</t>
  </si>
  <si>
    <t>ks</t>
  </si>
  <si>
    <t>21</t>
  </si>
  <si>
    <t>783425750R00</t>
  </si>
  <si>
    <t>Práce přesčas</t>
  </si>
  <si>
    <t>Demontáž čerpadel oběhových spirálních do DN 40</t>
  </si>
  <si>
    <t>61</t>
  </si>
  <si>
    <t>Filtr, vnitřní-vnitřní z. DN 50</t>
  </si>
  <si>
    <t>Tlaková zkouška potrubí ocel.závitového DN 40</t>
  </si>
  <si>
    <t>12</t>
  </si>
  <si>
    <t>Kulturní památka</t>
  </si>
  <si>
    <t>Navaření odbočky na potrubí,DN odbočky 50</t>
  </si>
  <si>
    <t>DPH 21%</t>
  </si>
  <si>
    <t>Demontáž armatur směšovacích.3cest. Mix A, DN 32</t>
  </si>
  <si>
    <t>Drobný spojovací materiál pro potrubí-armatury na potrubí do DN65</t>
  </si>
  <si>
    <t>Odstranění izolačních pásů  potrubí</t>
  </si>
  <si>
    <t>_</t>
  </si>
  <si>
    <t>733121224R00</t>
  </si>
  <si>
    <t>Demontáž armatur směšovacích.3cest. Mix A, DN 40</t>
  </si>
  <si>
    <t>49</t>
  </si>
  <si>
    <t>72</t>
  </si>
  <si>
    <t>Zkouška těsnosti potrubí, DN 50 - 80</t>
  </si>
  <si>
    <t>713_</t>
  </si>
  <si>
    <t>Přesuny</t>
  </si>
  <si>
    <t>MAT</t>
  </si>
  <si>
    <t>oběhové čerpadlo s el. řízením otáček,    25-60, 230V</t>
  </si>
  <si>
    <t>70</t>
  </si>
  <si>
    <t>8</t>
  </si>
  <si>
    <t>Celkem:</t>
  </si>
  <si>
    <t>430-068VD</t>
  </si>
  <si>
    <t>Mimostav. doprava</t>
  </si>
  <si>
    <t>Nátěry</t>
  </si>
  <si>
    <t>18</t>
  </si>
  <si>
    <t>DN celkem z obj.</t>
  </si>
  <si>
    <t>Kohout kulový,2xvnitřní záv.  DN 65</t>
  </si>
  <si>
    <t>46</t>
  </si>
  <si>
    <t>soub.</t>
  </si>
  <si>
    <t>713</t>
  </si>
  <si>
    <t>71_</t>
  </si>
  <si>
    <t>Montáž armatur závitových,se 3závity, G 1</t>
  </si>
  <si>
    <t>230072008R00</t>
  </si>
  <si>
    <t>50</t>
  </si>
  <si>
    <t>vyvažovací ventil DN 40</t>
  </si>
  <si>
    <t>m</t>
  </si>
  <si>
    <t>11</t>
  </si>
  <si>
    <t>32</t>
  </si>
  <si>
    <t>Rozvod potrubí</t>
  </si>
  <si>
    <t>Objednatel:</t>
  </si>
  <si>
    <t>734</t>
  </si>
  <si>
    <t>Návarky s trubkovým závitem G 1/2</t>
  </si>
  <si>
    <t>Potrubní pouzdro  T tl. 50 mm, DN 42</t>
  </si>
  <si>
    <t>RTS I / 2019</t>
  </si>
  <si>
    <t>734209119R00</t>
  </si>
  <si>
    <t>Ventil zpětný,2xvnitřní závit  DN 40</t>
  </si>
  <si>
    <t>PSV mat</t>
  </si>
  <si>
    <t>Teploměr dvoukovový DTR,pevný stonek 160 mm</t>
  </si>
  <si>
    <t>402-004VD</t>
  </si>
  <si>
    <t>Izolace tepelné</t>
  </si>
  <si>
    <t>4260011VD</t>
  </si>
  <si>
    <t>732429112R00</t>
  </si>
  <si>
    <t>Drobný spojovací materiál pro potrubí-armatury na potrubí do DN25</t>
  </si>
  <si>
    <t>3</t>
  </si>
  <si>
    <t>Přesun hmot pro rozvody potrubí, výšky do 6 m</t>
  </si>
  <si>
    <t>734290813R00</t>
  </si>
  <si>
    <t>Zhotovitel:</t>
  </si>
  <si>
    <t>%</t>
  </si>
  <si>
    <t>734109115R00</t>
  </si>
  <si>
    <t>Kohout kulový,2xvnitřní záv.  DN 25</t>
  </si>
  <si>
    <t>35</t>
  </si>
  <si>
    <t>Začátek výstavby:</t>
  </si>
  <si>
    <t>Potrubí hladké bezešvé v kotelnách D 76/3,6</t>
  </si>
  <si>
    <t>Drobný spojovací materiál pro potrubí-armatury na potrubí do DN50</t>
  </si>
  <si>
    <t>A</t>
  </si>
  <si>
    <t>Repase šoupátek do PN 40, DN 100 (uzavír. klapek mezipřírubových)</t>
  </si>
  <si>
    <t>Mont mat</t>
  </si>
  <si>
    <t>Montáž armatur závitových,se 2závity, G 2</t>
  </si>
  <si>
    <t>733120819R00</t>
  </si>
  <si>
    <t>998733101R00</t>
  </si>
  <si>
    <t>93</t>
  </si>
  <si>
    <t>73_</t>
  </si>
  <si>
    <t>Zkouška těsnosti potrubí, DN do 40</t>
  </si>
  <si>
    <t>450-010VD</t>
  </si>
  <si>
    <t>75</t>
  </si>
  <si>
    <t>430-067VD</t>
  </si>
  <si>
    <t>54</t>
  </si>
  <si>
    <t xml:space="preserve"> </t>
  </si>
  <si>
    <t>Přesun hmot pro izolace tepelné, výšky do 6 m</t>
  </si>
  <si>
    <t>734245126R00</t>
  </si>
  <si>
    <t>62 dní</t>
  </si>
  <si>
    <t>6310051VD</t>
  </si>
  <si>
    <t>Navaření odbočky na potrubí,DN odbočky 25</t>
  </si>
  <si>
    <t>Objednatel</t>
  </si>
  <si>
    <t>Montáž armatur závitových,s 1závitem, G 3/8</t>
  </si>
  <si>
    <t>57</t>
  </si>
  <si>
    <t>733121218R00</t>
  </si>
  <si>
    <t>(Kč)</t>
  </si>
  <si>
    <t>22</t>
  </si>
  <si>
    <t>Potrubí závit. bezešvé běžné v kotelnách DN 25</t>
  </si>
  <si>
    <t>vyvažovací ventil DN 25</t>
  </si>
  <si>
    <t>Územní vlivy</t>
  </si>
  <si>
    <t>6310052VD</t>
  </si>
  <si>
    <t>Datum:</t>
  </si>
  <si>
    <t>27</t>
  </si>
  <si>
    <t>734209117R00</t>
  </si>
  <si>
    <t>Potrubní pouzdro  tl. 50 mm, DN 76</t>
  </si>
  <si>
    <t>37</t>
  </si>
  <si>
    <t>80</t>
  </si>
  <si>
    <t>m2</t>
  </si>
  <si>
    <t>41</t>
  </si>
  <si>
    <t>450-016VD</t>
  </si>
  <si>
    <t>Přesun hmot a sutí</t>
  </si>
  <si>
    <t>NUS z rozpočtu</t>
  </si>
  <si>
    <t>734245125R00</t>
  </si>
  <si>
    <t>1</t>
  </si>
  <si>
    <t>6310047VD</t>
  </si>
  <si>
    <t>Strojovny</t>
  </si>
  <si>
    <t>7</t>
  </si>
  <si>
    <t>Rozměry</t>
  </si>
  <si>
    <t>74</t>
  </si>
  <si>
    <t>Položek:</t>
  </si>
  <si>
    <t>NUS celkem</t>
  </si>
  <si>
    <t>WORK</t>
  </si>
  <si>
    <t>trojcestný směšovací ventil  VXP45.25-10</t>
  </si>
  <si>
    <t>83</t>
  </si>
  <si>
    <t>733</t>
  </si>
  <si>
    <t>Ostatní rozpočtové náklady ORN</t>
  </si>
  <si>
    <t>734295215R00</t>
  </si>
  <si>
    <t>733190225R00</t>
  </si>
  <si>
    <t>47</t>
  </si>
  <si>
    <t>734295217R00</t>
  </si>
  <si>
    <t>HSV mat</t>
  </si>
  <si>
    <t>Kč</t>
  </si>
  <si>
    <t>734295213R00</t>
  </si>
  <si>
    <t>733191828R00</t>
  </si>
  <si>
    <t>230170012R00</t>
  </si>
  <si>
    <t>66</t>
  </si>
  <si>
    <t>Filtr, vnitřní-vnitřní z.  DN 65</t>
  </si>
  <si>
    <t>Celkem VRN</t>
  </si>
  <si>
    <t>42600030VD</t>
  </si>
  <si>
    <t>90</t>
  </si>
  <si>
    <t>89</t>
  </si>
  <si>
    <t>6310049VD</t>
  </si>
  <si>
    <t>Ostatní rozpočtové náklady (ORN)</t>
  </si>
  <si>
    <t>0422000011VD</t>
  </si>
  <si>
    <t>734245123R00</t>
  </si>
  <si>
    <t>Celkem DN</t>
  </si>
  <si>
    <t>42200060VD</t>
  </si>
  <si>
    <t>88</t>
  </si>
  <si>
    <t>734209102R00</t>
  </si>
  <si>
    <t>THERMPROJEKT s.r.o. Zlín</t>
  </si>
  <si>
    <t>Zkrácený popis</t>
  </si>
  <si>
    <t>28</t>
  </si>
  <si>
    <t>733191816R00</t>
  </si>
  <si>
    <t>42600033VD</t>
  </si>
  <si>
    <t>vyvažovací ventil DN 50</t>
  </si>
  <si>
    <t>CELK</t>
  </si>
  <si>
    <t>734235123R00</t>
  </si>
  <si>
    <t>oběhové čerpadlo s el. řízením otáček,    32-80, 230V</t>
  </si>
  <si>
    <t>65</t>
  </si>
  <si>
    <t>VATTAX</t>
  </si>
  <si>
    <t>34</t>
  </si>
  <si>
    <t>62</t>
  </si>
  <si>
    <t>Doplňkové náklady DN</t>
  </si>
  <si>
    <t>733111217R00</t>
  </si>
  <si>
    <t>Odřezání třmenových držáků potrubí do D 108</t>
  </si>
  <si>
    <t>trojcestný směšovací ventil  VXP45.40-25</t>
  </si>
  <si>
    <t>STATUTÁRNÍ MĚSTO ZLÍN</t>
  </si>
  <si>
    <r>
      <t xml:space="preserve">Rekonstrukce  plynové  kotelny - </t>
    </r>
    <r>
      <rPr>
        <b/>
        <sz val="10"/>
        <color indexed="8"/>
        <rFont val="Arial"/>
        <family val="2"/>
      </rPr>
      <t>KOMBI ROZDĚLOVAČ</t>
    </r>
  </si>
  <si>
    <t>Krycí list rozpočtu</t>
  </si>
  <si>
    <t>Výkaz výměr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</si>
</sst>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7"/>
      <name val="Arial"/>
      <family val="0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0"/>
      <color indexed="8"/>
      <name val="Arial"/>
      <family val="2"/>
    </font>
    <font>
      <i/>
      <sz val="8"/>
      <color indexed="8"/>
      <name val="Arial"/>
      <family val="2"/>
    </font>
    <font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20"/>
      <color rgb="FF000000"/>
      <name val="Arial"/>
      <family val="2"/>
    </font>
    <font>
      <i/>
      <sz val="8"/>
      <color rgb="FF000000"/>
      <name val="Arial"/>
      <family val="2"/>
    </font>
    <font>
      <sz val="18"/>
      <color rgb="FF000000"/>
      <name val="Arial"/>
      <family val="2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5" tint="0.799979984760284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0C0C0"/>
      </left>
      <right>
        <color rgb="FFC0C0C0"/>
      </right>
      <top>
        <color rgb="FFC0C0C0"/>
      </top>
      <bottom>
        <color rgb="FFC0C0C0"/>
      </bottom>
    </border>
    <border>
      <left>
        <color rgb="FFC0C0C0"/>
      </left>
      <right>
        <color rgb="FFC0C0C0"/>
      </right>
      <top style="medium">
        <color rgb="FFC0C0C0"/>
      </top>
      <bottom>
        <color rgb="FFC0C0C0"/>
      </bottom>
    </border>
    <border>
      <left/>
      <right style="thin">
        <color rgb="FF000000"/>
      </right>
      <top/>
      <bottom/>
    </border>
    <border>
      <left>
        <color rgb="FF000000"/>
      </left>
      <right style="medium">
        <color rgb="FF000000"/>
      </right>
      <top>
        <color rgb="FF000000"/>
      </top>
      <bottom>
        <color rgb="FFC0C0C0"/>
      </bottom>
    </border>
    <border>
      <left style="thin">
        <color rgb="FF000000"/>
      </left>
      <right style="thin">
        <color rgb="FF000000"/>
      </right>
      <top>
        <color rgb="FF000000"/>
      </top>
      <bottom/>
    </border>
    <border>
      <left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>
        <color rgb="FF000000"/>
      </top>
      <bottom>
        <color rgb="FFC0C0C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0C0C0"/>
      </left>
      <right>
        <color rgb="FFC0C0C0"/>
      </right>
      <top>
        <color rgb="FFC0C0C0"/>
      </top>
      <bottom style="thin">
        <color rgb="FFC0C0C0"/>
      </bottom>
    </border>
    <border>
      <left style="thin">
        <color rgb="FF000000"/>
      </left>
      <right/>
      <top/>
      <bottom/>
    </border>
    <border>
      <left style="thin">
        <color rgb="FFC0C0C0"/>
      </left>
      <right>
        <color rgb="FFC0C0C0"/>
      </right>
      <top style="medium">
        <color rgb="FFC0C0C0"/>
      </top>
      <bottom>
        <color rgb="FFC0C0C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>
        <color rgb="FFC0C0C0"/>
      </left>
      <right>
        <color rgb="FFC0C0C0"/>
      </right>
      <top>
        <color rgb="FFC0C0C0"/>
      </top>
      <bottom style="thin">
        <color rgb="FFC0C0C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>
        <color rgb="FF000000"/>
      </top>
      <bottom style="thin">
        <color rgb="FF000000"/>
      </bottom>
    </border>
    <border>
      <left>
        <color rgb="FF000000"/>
      </left>
      <right/>
      <top>
        <color rgb="FF000000"/>
      </top>
      <bottom style="thin">
        <color rgb="FF000000"/>
      </bottom>
    </border>
    <border>
      <left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5">
    <xf numFmtId="0" fontId="1" fillId="0" borderId="0" xfId="0" applyNumberFormat="1" applyFont="1" applyFill="1" applyBorder="1" applyAlignment="1" applyProtection="1">
      <alignment/>
      <protection/>
    </xf>
    <xf numFmtId="0" fontId="45" fillId="33" borderId="10" xfId="0" applyNumberFormat="1" applyFont="1" applyFill="1" applyBorder="1" applyAlignment="1" applyProtection="1">
      <alignment horizontal="left" vertical="center"/>
      <protection/>
    </xf>
    <xf numFmtId="4" fontId="46" fillId="34" borderId="0" xfId="0" applyNumberFormat="1" applyFont="1" applyFill="1" applyBorder="1" applyAlignment="1" applyProtection="1">
      <alignment horizontal="right" vertical="center"/>
      <protection/>
    </xf>
    <xf numFmtId="4" fontId="46" fillId="34" borderId="11" xfId="0" applyNumberFormat="1" applyFont="1" applyFill="1" applyBorder="1" applyAlignment="1" applyProtection="1">
      <alignment horizontal="right" vertical="center"/>
      <protection/>
    </xf>
    <xf numFmtId="0" fontId="45" fillId="34" borderId="0" xfId="0" applyNumberFormat="1" applyFont="1" applyFill="1" applyBorder="1" applyAlignment="1" applyProtection="1">
      <alignment horizontal="left" vertical="center"/>
      <protection/>
    </xf>
    <xf numFmtId="0" fontId="45" fillId="0" borderId="12" xfId="0" applyNumberFormat="1" applyFont="1" applyFill="1" applyBorder="1" applyAlignment="1" applyProtection="1">
      <alignment horizontal="left" vertical="center"/>
      <protection/>
    </xf>
    <xf numFmtId="0" fontId="45" fillId="33" borderId="10" xfId="0" applyNumberFormat="1" applyFont="1" applyFill="1" applyBorder="1" applyAlignment="1" applyProtection="1">
      <alignment horizontal="left" vertical="center"/>
      <protection/>
    </xf>
    <xf numFmtId="0" fontId="46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47" fillId="0" borderId="14" xfId="0" applyNumberFormat="1" applyFont="1" applyFill="1" applyBorder="1" applyAlignment="1" applyProtection="1">
      <alignment horizontal="left" vertical="center"/>
      <protection/>
    </xf>
    <xf numFmtId="0" fontId="46" fillId="35" borderId="0" xfId="0" applyNumberFormat="1" applyFont="1" applyFill="1" applyBorder="1" applyAlignment="1" applyProtection="1">
      <alignment horizontal="left" vertical="center"/>
      <protection/>
    </xf>
    <xf numFmtId="0" fontId="46" fillId="0" borderId="15" xfId="0" applyNumberFormat="1" applyFont="1" applyFill="1" applyBorder="1" applyAlignment="1" applyProtection="1">
      <alignment horizontal="right" vertical="center"/>
      <protection/>
    </xf>
    <xf numFmtId="0" fontId="45" fillId="0" borderId="0" xfId="0" applyNumberFormat="1" applyFont="1" applyFill="1" applyBorder="1" applyAlignment="1" applyProtection="1">
      <alignment horizontal="left" vertical="center"/>
      <protection/>
    </xf>
    <xf numFmtId="0" fontId="46" fillId="34" borderId="0" xfId="0" applyNumberFormat="1" applyFont="1" applyFill="1" applyBorder="1" applyAlignment="1" applyProtection="1">
      <alignment horizontal="left" vertical="center"/>
      <protection/>
    </xf>
    <xf numFmtId="4" fontId="45" fillId="0" borderId="16" xfId="0" applyNumberFormat="1" applyFont="1" applyFill="1" applyBorder="1" applyAlignment="1" applyProtection="1">
      <alignment horizontal="right" vertical="center"/>
      <protection/>
    </xf>
    <xf numFmtId="4" fontId="45" fillId="33" borderId="0" xfId="0" applyNumberFormat="1" applyFont="1" applyFill="1" applyBorder="1" applyAlignment="1" applyProtection="1">
      <alignment horizontal="right" vertical="center"/>
      <protection/>
    </xf>
    <xf numFmtId="0" fontId="46" fillId="34" borderId="0" xfId="0" applyNumberFormat="1" applyFont="1" applyFill="1" applyBorder="1" applyAlignment="1" applyProtection="1">
      <alignment horizontal="right" vertical="center"/>
      <protection/>
    </xf>
    <xf numFmtId="0" fontId="46" fillId="0" borderId="17" xfId="0" applyNumberFormat="1" applyFont="1" applyFill="1" applyBorder="1" applyAlignment="1" applyProtection="1">
      <alignment horizontal="center" vertical="center"/>
      <protection/>
    </xf>
    <xf numFmtId="0" fontId="45" fillId="34" borderId="11" xfId="0" applyNumberFormat="1" applyFont="1" applyFill="1" applyBorder="1" applyAlignment="1" applyProtection="1">
      <alignment horizontal="left" vertical="center"/>
      <protection/>
    </xf>
    <xf numFmtId="0" fontId="45" fillId="34" borderId="0" xfId="0" applyNumberFormat="1" applyFont="1" applyFill="1" applyBorder="1" applyAlignment="1" applyProtection="1">
      <alignment horizontal="left" vertical="center"/>
      <protection/>
    </xf>
    <xf numFmtId="0" fontId="46" fillId="0" borderId="18" xfId="0" applyNumberFormat="1" applyFont="1" applyFill="1" applyBorder="1" applyAlignment="1" applyProtection="1">
      <alignment horizontal="center" vertical="center"/>
      <protection/>
    </xf>
    <xf numFmtId="0" fontId="45" fillId="35" borderId="0" xfId="0" applyNumberFormat="1" applyFont="1" applyFill="1" applyBorder="1" applyAlignment="1" applyProtection="1">
      <alignment horizontal="left" vertical="center"/>
      <protection/>
    </xf>
    <xf numFmtId="0" fontId="45" fillId="33" borderId="0" xfId="0" applyNumberFormat="1" applyFont="1" applyFill="1" applyBorder="1" applyAlignment="1" applyProtection="1">
      <alignment horizontal="right" vertical="center"/>
      <protection/>
    </xf>
    <xf numFmtId="0" fontId="46" fillId="34" borderId="0" xfId="0" applyNumberFormat="1" applyFont="1" applyFill="1" applyBorder="1" applyAlignment="1" applyProtection="1">
      <alignment horizontal="left" vertical="center"/>
      <protection/>
    </xf>
    <xf numFmtId="0" fontId="48" fillId="0" borderId="16" xfId="0" applyNumberFormat="1" applyFont="1" applyFill="1" applyBorder="1" applyAlignment="1" applyProtection="1">
      <alignment horizontal="left" vertical="center"/>
      <protection/>
    </xf>
    <xf numFmtId="0" fontId="45" fillId="33" borderId="0" xfId="0" applyNumberFormat="1" applyFont="1" applyFill="1" applyBorder="1" applyAlignment="1" applyProtection="1">
      <alignment horizontal="left" vertical="center"/>
      <protection/>
    </xf>
    <xf numFmtId="0" fontId="49" fillId="35" borderId="19" xfId="0" applyNumberFormat="1" applyFont="1" applyFill="1" applyBorder="1" applyAlignment="1" applyProtection="1">
      <alignment horizontal="center" vertical="center"/>
      <protection/>
    </xf>
    <xf numFmtId="4" fontId="48" fillId="0" borderId="12" xfId="0" applyNumberFormat="1" applyFont="1" applyFill="1" applyBorder="1" applyAlignment="1" applyProtection="1">
      <alignment horizontal="right" vertical="center"/>
      <protection/>
    </xf>
    <xf numFmtId="0" fontId="45" fillId="0" borderId="14" xfId="0" applyNumberFormat="1" applyFont="1" applyFill="1" applyBorder="1" applyAlignment="1" applyProtection="1">
      <alignment horizontal="left" vertical="center"/>
      <protection/>
    </xf>
    <xf numFmtId="0" fontId="46" fillId="0" borderId="12" xfId="0" applyNumberFormat="1" applyFont="1" applyFill="1" applyBorder="1" applyAlignment="1" applyProtection="1">
      <alignment horizontal="center" vertical="center"/>
      <protection/>
    </xf>
    <xf numFmtId="0" fontId="48" fillId="0" borderId="16" xfId="0" applyNumberFormat="1" applyFont="1" applyFill="1" applyBorder="1" applyAlignment="1" applyProtection="1">
      <alignment horizontal="right" vertical="center"/>
      <protection/>
    </xf>
    <xf numFmtId="0" fontId="45" fillId="33" borderId="20" xfId="0" applyNumberFormat="1" applyFont="1" applyFill="1" applyBorder="1" applyAlignment="1" applyProtection="1">
      <alignment horizontal="left" vertical="center"/>
      <protection/>
    </xf>
    <xf numFmtId="4" fontId="48" fillId="0" borderId="16" xfId="0" applyNumberFormat="1" applyFont="1" applyFill="1" applyBorder="1" applyAlignment="1" applyProtection="1">
      <alignment horizontal="right" vertical="center"/>
      <protection/>
    </xf>
    <xf numFmtId="0" fontId="45" fillId="35" borderId="21" xfId="0" applyNumberFormat="1" applyFont="1" applyFill="1" applyBorder="1" applyAlignment="1" applyProtection="1">
      <alignment horizontal="left" vertical="center"/>
      <protection/>
    </xf>
    <xf numFmtId="4" fontId="46" fillId="34" borderId="0" xfId="0" applyNumberFormat="1" applyFont="1" applyFill="1" applyBorder="1" applyAlignment="1" applyProtection="1">
      <alignment horizontal="right" vertical="center"/>
      <protection/>
    </xf>
    <xf numFmtId="0" fontId="45" fillId="34" borderId="22" xfId="0" applyNumberFormat="1" applyFont="1" applyFill="1" applyBorder="1" applyAlignment="1" applyProtection="1">
      <alignment horizontal="left" vertical="center"/>
      <protection/>
    </xf>
    <xf numFmtId="0" fontId="46" fillId="35" borderId="0" xfId="0" applyNumberFormat="1" applyFont="1" applyFill="1" applyBorder="1" applyAlignment="1" applyProtection="1">
      <alignment horizontal="right" vertical="center"/>
      <protection/>
    </xf>
    <xf numFmtId="0" fontId="46" fillId="0" borderId="17" xfId="0" applyNumberFormat="1" applyFont="1" applyFill="1" applyBorder="1" applyAlignment="1" applyProtection="1">
      <alignment horizontal="left" vertical="center"/>
      <protection/>
    </xf>
    <xf numFmtId="0" fontId="45" fillId="0" borderId="16" xfId="0" applyNumberFormat="1" applyFont="1" applyFill="1" applyBorder="1" applyAlignment="1" applyProtection="1">
      <alignment horizontal="left" vertical="center"/>
      <protection/>
    </xf>
    <xf numFmtId="0" fontId="45" fillId="33" borderId="0" xfId="0" applyNumberFormat="1" applyFont="1" applyFill="1" applyBorder="1" applyAlignment="1" applyProtection="1">
      <alignment horizontal="left" vertical="center"/>
      <protection/>
    </xf>
    <xf numFmtId="0" fontId="47" fillId="0" borderId="23" xfId="0" applyNumberFormat="1" applyFont="1" applyFill="1" applyBorder="1" applyAlignment="1" applyProtection="1">
      <alignment horizontal="left" vertical="center"/>
      <protection/>
    </xf>
    <xf numFmtId="4" fontId="45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4" fontId="45" fillId="0" borderId="0" xfId="0" applyNumberFormat="1" applyFont="1" applyFill="1" applyBorder="1" applyAlignment="1" applyProtection="1">
      <alignment horizontal="right" vertical="center"/>
      <protection/>
    </xf>
    <xf numFmtId="0" fontId="50" fillId="0" borderId="0" xfId="0" applyNumberFormat="1" applyFont="1" applyFill="1" applyBorder="1" applyAlignment="1" applyProtection="1">
      <alignment horizontal="left" vertical="center"/>
      <protection/>
    </xf>
    <xf numFmtId="0" fontId="46" fillId="34" borderId="0" xfId="0" applyNumberFormat="1" applyFont="1" applyFill="1" applyBorder="1" applyAlignment="1" applyProtection="1">
      <alignment horizontal="right" vertical="center"/>
      <protection/>
    </xf>
    <xf numFmtId="4" fontId="47" fillId="35" borderId="16" xfId="0" applyNumberFormat="1" applyFont="1" applyFill="1" applyBorder="1" applyAlignment="1" applyProtection="1">
      <alignment horizontal="right" vertical="center"/>
      <protection/>
    </xf>
    <xf numFmtId="4" fontId="47" fillId="35" borderId="24" xfId="0" applyNumberFormat="1" applyFont="1" applyFill="1" applyBorder="1" applyAlignment="1" applyProtection="1">
      <alignment horizontal="right" vertical="center"/>
      <protection/>
    </xf>
    <xf numFmtId="0" fontId="45" fillId="33" borderId="0" xfId="0" applyNumberFormat="1" applyFont="1" applyFill="1" applyBorder="1" applyAlignment="1" applyProtection="1">
      <alignment horizontal="right" vertical="center"/>
      <protection/>
    </xf>
    <xf numFmtId="0" fontId="46" fillId="0" borderId="25" xfId="0" applyNumberFormat="1" applyFont="1" applyFill="1" applyBorder="1" applyAlignment="1" applyProtection="1">
      <alignment horizontal="left" vertical="center"/>
      <protection/>
    </xf>
    <xf numFmtId="4" fontId="46" fillId="35" borderId="0" xfId="0" applyNumberFormat="1" applyFont="1" applyFill="1" applyBorder="1" applyAlignment="1" applyProtection="1">
      <alignment horizontal="right" vertical="center"/>
      <protection/>
    </xf>
    <xf numFmtId="0" fontId="46" fillId="0" borderId="25" xfId="0" applyNumberFormat="1" applyFont="1" applyFill="1" applyBorder="1" applyAlignment="1" applyProtection="1">
      <alignment horizontal="right" vertical="center"/>
      <protection/>
    </xf>
    <xf numFmtId="0" fontId="45" fillId="34" borderId="10" xfId="0" applyNumberFormat="1" applyFont="1" applyFill="1" applyBorder="1" applyAlignment="1" applyProtection="1">
      <alignment horizontal="left" vertical="center"/>
      <protection/>
    </xf>
    <xf numFmtId="0" fontId="45" fillId="0" borderId="21" xfId="0" applyNumberFormat="1" applyFont="1" applyFill="1" applyBorder="1" applyAlignment="1" applyProtection="1">
      <alignment horizontal="left" vertical="center"/>
      <protection/>
    </xf>
    <xf numFmtId="0" fontId="49" fillId="35" borderId="24" xfId="0" applyNumberFormat="1" applyFont="1" applyFill="1" applyBorder="1" applyAlignment="1" applyProtection="1">
      <alignment horizontal="center" vertical="center"/>
      <protection/>
    </xf>
    <xf numFmtId="0" fontId="46" fillId="0" borderId="26" xfId="0" applyNumberFormat="1" applyFont="1" applyFill="1" applyBorder="1" applyAlignment="1" applyProtection="1">
      <alignment horizontal="center" vertical="center"/>
      <protection/>
    </xf>
    <xf numFmtId="0" fontId="48" fillId="0" borderId="12" xfId="0" applyNumberFormat="1" applyFont="1" applyFill="1" applyBorder="1" applyAlignment="1" applyProtection="1">
      <alignment horizontal="right" vertical="center"/>
      <protection/>
    </xf>
    <xf numFmtId="0" fontId="46" fillId="0" borderId="0" xfId="0" applyNumberFormat="1" applyFont="1" applyFill="1" applyBorder="1" applyAlignment="1" applyProtection="1">
      <alignment horizontal="center" vertical="center"/>
      <protection/>
    </xf>
    <xf numFmtId="4" fontId="45" fillId="33" borderId="27" xfId="0" applyNumberFormat="1" applyFont="1" applyFill="1" applyBorder="1" applyAlignment="1" applyProtection="1">
      <alignment horizontal="right" vertical="center"/>
      <protection/>
    </xf>
    <xf numFmtId="0" fontId="46" fillId="0" borderId="28" xfId="0" applyNumberFormat="1" applyFont="1" applyFill="1" applyBorder="1" applyAlignment="1" applyProtection="1">
      <alignment horizontal="left" vertical="center"/>
      <protection/>
    </xf>
    <xf numFmtId="0" fontId="45" fillId="34" borderId="10" xfId="0" applyNumberFormat="1" applyFont="1" applyFill="1" applyBorder="1" applyAlignment="1" applyProtection="1">
      <alignment horizontal="left" vertical="center"/>
      <protection/>
    </xf>
    <xf numFmtId="0" fontId="46" fillId="34" borderId="11" xfId="0" applyNumberFormat="1" applyFont="1" applyFill="1" applyBorder="1" applyAlignment="1" applyProtection="1">
      <alignment horizontal="left" vertical="center"/>
      <protection/>
    </xf>
    <xf numFmtId="0" fontId="45" fillId="0" borderId="0" xfId="0" applyNumberFormat="1" applyFont="1" applyFill="1" applyBorder="1" applyAlignment="1" applyProtection="1">
      <alignment horizontal="right" vertical="center"/>
      <protection/>
    </xf>
    <xf numFmtId="0" fontId="45" fillId="33" borderId="27" xfId="0" applyNumberFormat="1" applyFont="1" applyFill="1" applyBorder="1" applyAlignment="1" applyProtection="1">
      <alignment horizontal="left" vertical="center"/>
      <protection/>
    </xf>
    <xf numFmtId="0" fontId="46" fillId="34" borderId="11" xfId="0" applyNumberFormat="1" applyFont="1" applyFill="1" applyBorder="1" applyAlignment="1" applyProtection="1">
      <alignment horizontal="right" vertical="center"/>
      <protection/>
    </xf>
    <xf numFmtId="0" fontId="46" fillId="35" borderId="0" xfId="0" applyNumberFormat="1" applyFont="1" applyFill="1" applyBorder="1" applyAlignment="1" applyProtection="1">
      <alignment horizontal="right" vertical="center"/>
      <protection/>
    </xf>
    <xf numFmtId="4" fontId="45" fillId="0" borderId="12" xfId="0" applyNumberFormat="1" applyFont="1" applyFill="1" applyBorder="1" applyAlignment="1" applyProtection="1">
      <alignment horizontal="right" vertical="center"/>
      <protection/>
    </xf>
    <xf numFmtId="4" fontId="46" fillId="0" borderId="25" xfId="0" applyNumberFormat="1" applyFont="1" applyFill="1" applyBorder="1" applyAlignment="1" applyProtection="1">
      <alignment horizontal="right" vertical="center"/>
      <protection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4" fontId="48" fillId="0" borderId="29" xfId="0" applyNumberFormat="1" applyFont="1" applyFill="1" applyBorder="1" applyAlignment="1" applyProtection="1">
      <alignment horizontal="right" vertical="center"/>
      <protection/>
    </xf>
    <xf numFmtId="4" fontId="48" fillId="0" borderId="24" xfId="0" applyNumberFormat="1" applyFont="1" applyFill="1" applyBorder="1" applyAlignment="1" applyProtection="1">
      <alignment horizontal="right" vertical="center"/>
      <protection/>
    </xf>
    <xf numFmtId="4" fontId="46" fillId="0" borderId="0" xfId="0" applyNumberFormat="1" applyFont="1" applyFill="1" applyBorder="1" applyAlignment="1" applyProtection="1">
      <alignment horizontal="right" vertical="center"/>
      <protection/>
    </xf>
    <xf numFmtId="4" fontId="46" fillId="35" borderId="0" xfId="0" applyNumberFormat="1" applyFont="1" applyFill="1" applyBorder="1" applyAlignment="1" applyProtection="1">
      <alignment horizontal="right" vertical="center"/>
      <protection/>
    </xf>
    <xf numFmtId="0" fontId="45" fillId="33" borderId="27" xfId="0" applyNumberFormat="1" applyFont="1" applyFill="1" applyBorder="1" applyAlignment="1" applyProtection="1">
      <alignment horizontal="right" vertical="center"/>
      <protection/>
    </xf>
    <xf numFmtId="0" fontId="46" fillId="0" borderId="30" xfId="0" applyNumberFormat="1" applyFont="1" applyFill="1" applyBorder="1" applyAlignment="1" applyProtection="1">
      <alignment horizontal="center" vertical="center"/>
      <protection/>
    </xf>
    <xf numFmtId="4" fontId="45" fillId="3" borderId="0" xfId="0" applyNumberFormat="1" applyFont="1" applyFill="1" applyBorder="1" applyAlignment="1" applyProtection="1">
      <alignment horizontal="right" vertical="center"/>
      <protection/>
    </xf>
    <xf numFmtId="0" fontId="45" fillId="36" borderId="0" xfId="0" applyNumberFormat="1" applyFont="1" applyFill="1" applyBorder="1" applyAlignment="1" applyProtection="1">
      <alignment horizontal="left" vertical="center"/>
      <protection/>
    </xf>
    <xf numFmtId="4" fontId="45" fillId="3" borderId="27" xfId="0" applyNumberFormat="1" applyFont="1" applyFill="1" applyBorder="1" applyAlignment="1" applyProtection="1">
      <alignment horizontal="right" vertical="center"/>
      <protection/>
    </xf>
    <xf numFmtId="4" fontId="48" fillId="3" borderId="24" xfId="0" applyNumberFormat="1" applyFont="1" applyFill="1" applyBorder="1" applyAlignment="1" applyProtection="1">
      <alignment horizontal="right" vertical="center"/>
      <protection/>
    </xf>
    <xf numFmtId="0" fontId="51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31" xfId="0" applyNumberFormat="1" applyFont="1" applyFill="1" applyBorder="1" applyAlignment="1" applyProtection="1">
      <alignment horizontal="left" vertical="center" wrapText="1"/>
      <protection/>
    </xf>
    <xf numFmtId="0" fontId="45" fillId="0" borderId="32" xfId="0" applyNumberFormat="1" applyFont="1" applyFill="1" applyBorder="1" applyAlignment="1" applyProtection="1">
      <alignment horizontal="left" vertical="center"/>
      <protection/>
    </xf>
    <xf numFmtId="0" fontId="45" fillId="0" borderId="21" xfId="0" applyNumberFormat="1" applyFont="1" applyFill="1" applyBorder="1" applyAlignment="1" applyProtection="1">
      <alignment horizontal="left" vertical="center"/>
      <protection/>
    </xf>
    <xf numFmtId="0" fontId="45" fillId="0" borderId="0" xfId="0" applyNumberFormat="1" applyFont="1" applyFill="1" applyBorder="1" applyAlignment="1" applyProtection="1">
      <alignment horizontal="left" vertical="center"/>
      <protection/>
    </xf>
    <xf numFmtId="0" fontId="45" fillId="0" borderId="21" xfId="0" applyNumberFormat="1" applyFont="1" applyFill="1" applyBorder="1" applyAlignment="1" applyProtection="1">
      <alignment horizontal="left" vertical="center" wrapText="1"/>
      <protection/>
    </xf>
    <xf numFmtId="0" fontId="45" fillId="0" borderId="32" xfId="0" applyNumberFormat="1" applyFont="1" applyFill="1" applyBorder="1" applyAlignment="1" applyProtection="1">
      <alignment horizontal="left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45" fillId="0" borderId="33" xfId="0" applyNumberFormat="1" applyFont="1" applyFill="1" applyBorder="1" applyAlignment="1" applyProtection="1">
      <alignment horizontal="left" vertical="center"/>
      <protection/>
    </xf>
    <xf numFmtId="0" fontId="45" fillId="0" borderId="12" xfId="0" applyNumberFormat="1" applyFont="1" applyFill="1" applyBorder="1" applyAlignment="1" applyProtection="1">
      <alignment horizontal="left" vertical="center"/>
      <protection/>
    </xf>
    <xf numFmtId="0" fontId="45" fillId="0" borderId="16" xfId="0" applyNumberFormat="1" applyFont="1" applyFill="1" applyBorder="1" applyAlignment="1" applyProtection="1">
      <alignment horizontal="left" vertical="center"/>
      <protection/>
    </xf>
    <xf numFmtId="0" fontId="46" fillId="0" borderId="30" xfId="0" applyNumberFormat="1" applyFont="1" applyFill="1" applyBorder="1" applyAlignment="1" applyProtection="1">
      <alignment horizontal="left" vertical="center"/>
      <protection/>
    </xf>
    <xf numFmtId="0" fontId="46" fillId="0" borderId="17" xfId="0" applyNumberFormat="1" applyFont="1" applyFill="1" applyBorder="1" applyAlignment="1" applyProtection="1">
      <alignment horizontal="left" vertical="center"/>
      <protection/>
    </xf>
    <xf numFmtId="0" fontId="46" fillId="0" borderId="32" xfId="0" applyNumberFormat="1" applyFont="1" applyFill="1" applyBorder="1" applyAlignment="1" applyProtection="1">
      <alignment horizontal="left" vertical="center" wrapText="1"/>
      <protection/>
    </xf>
    <xf numFmtId="0" fontId="46" fillId="0" borderId="32" xfId="0" applyNumberFormat="1" applyFont="1" applyFill="1" applyBorder="1" applyAlignment="1" applyProtection="1">
      <alignment horizontal="left" vertical="center"/>
      <protection/>
    </xf>
    <xf numFmtId="0" fontId="46" fillId="0" borderId="12" xfId="0" applyNumberFormat="1" applyFont="1" applyFill="1" applyBorder="1" applyAlignment="1" applyProtection="1">
      <alignment horizontal="left" vertical="center"/>
      <protection/>
    </xf>
    <xf numFmtId="0" fontId="46" fillId="0" borderId="34" xfId="0" applyNumberFormat="1" applyFont="1" applyFill="1" applyBorder="1" applyAlignment="1" applyProtection="1">
      <alignment horizontal="center" vertical="center"/>
      <protection/>
    </xf>
    <xf numFmtId="0" fontId="46" fillId="0" borderId="35" xfId="0" applyNumberFormat="1" applyFont="1" applyFill="1" applyBorder="1" applyAlignment="1" applyProtection="1">
      <alignment horizontal="center" vertical="center"/>
      <protection/>
    </xf>
    <xf numFmtId="0" fontId="46" fillId="0" borderId="15" xfId="0" applyNumberFormat="1" applyFont="1" applyFill="1" applyBorder="1" applyAlignment="1" applyProtection="1">
      <alignment horizontal="center" vertical="center"/>
      <protection/>
    </xf>
    <xf numFmtId="0" fontId="46" fillId="34" borderId="11" xfId="0" applyNumberFormat="1" applyFont="1" applyFill="1" applyBorder="1" applyAlignment="1" applyProtection="1">
      <alignment horizontal="left" vertical="center" wrapText="1"/>
      <protection/>
    </xf>
    <xf numFmtId="0" fontId="46" fillId="34" borderId="11" xfId="0" applyNumberFormat="1" applyFont="1" applyFill="1" applyBorder="1" applyAlignment="1" applyProtection="1">
      <alignment horizontal="left" vertical="center"/>
      <protection/>
    </xf>
    <xf numFmtId="0" fontId="45" fillId="33" borderId="0" xfId="0" applyNumberFormat="1" applyFont="1" applyFill="1" applyBorder="1" applyAlignment="1" applyProtection="1">
      <alignment horizontal="left" vertical="center" wrapText="1"/>
      <protection/>
    </xf>
    <xf numFmtId="0" fontId="45" fillId="33" borderId="0" xfId="0" applyNumberFormat="1" applyFont="1" applyFill="1" applyBorder="1" applyAlignment="1" applyProtection="1">
      <alignment horizontal="left" vertical="center"/>
      <protection/>
    </xf>
    <xf numFmtId="0" fontId="46" fillId="35" borderId="0" xfId="0" applyNumberFormat="1" applyFont="1" applyFill="1" applyBorder="1" applyAlignment="1" applyProtection="1">
      <alignment horizontal="left" vertical="center" wrapText="1"/>
      <protection/>
    </xf>
    <xf numFmtId="0" fontId="46" fillId="35" borderId="0" xfId="0" applyNumberFormat="1" applyFont="1" applyFill="1" applyBorder="1" applyAlignment="1" applyProtection="1">
      <alignment horizontal="left" vertical="center"/>
      <protection/>
    </xf>
    <xf numFmtId="0" fontId="46" fillId="34" borderId="0" xfId="0" applyNumberFormat="1" applyFont="1" applyFill="1" applyBorder="1" applyAlignment="1" applyProtection="1">
      <alignment horizontal="left" vertical="center" wrapText="1"/>
      <protection/>
    </xf>
    <xf numFmtId="0" fontId="46" fillId="34" borderId="0" xfId="0" applyNumberFormat="1" applyFont="1" applyFill="1" applyBorder="1" applyAlignment="1" applyProtection="1">
      <alignment horizontal="left" vertical="center"/>
      <protection/>
    </xf>
    <xf numFmtId="0" fontId="45" fillId="33" borderId="27" xfId="0" applyNumberFormat="1" applyFont="1" applyFill="1" applyBorder="1" applyAlignment="1" applyProtection="1">
      <alignment horizontal="left" vertical="center" wrapText="1"/>
      <protection/>
    </xf>
    <xf numFmtId="0" fontId="45" fillId="33" borderId="27" xfId="0" applyNumberFormat="1" applyFont="1" applyFill="1" applyBorder="1" applyAlignment="1" applyProtection="1">
      <alignment horizontal="left" vertical="center"/>
      <protection/>
    </xf>
    <xf numFmtId="0" fontId="51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36" xfId="0" applyNumberFormat="1" applyFont="1" applyFill="1" applyBorder="1" applyAlignment="1" applyProtection="1">
      <alignment horizontal="left" vertical="center"/>
      <protection/>
    </xf>
    <xf numFmtId="0" fontId="45" fillId="0" borderId="37" xfId="0" applyNumberFormat="1" applyFont="1" applyFill="1" applyBorder="1" applyAlignment="1" applyProtection="1">
      <alignment horizontal="left" vertical="center"/>
      <protection/>
    </xf>
    <xf numFmtId="1" fontId="45" fillId="0" borderId="12" xfId="0" applyNumberFormat="1" applyFont="1" applyFill="1" applyBorder="1" applyAlignment="1" applyProtection="1">
      <alignment horizontal="left" vertical="center"/>
      <protection/>
    </xf>
    <xf numFmtId="0" fontId="45" fillId="0" borderId="12" xfId="0" applyNumberFormat="1" applyFont="1" applyFill="1" applyBorder="1" applyAlignment="1" applyProtection="1">
      <alignment horizontal="left" vertical="center" wrapText="1"/>
      <protection/>
    </xf>
    <xf numFmtId="0" fontId="52" fillId="0" borderId="0" xfId="0" applyNumberFormat="1" applyFont="1" applyFill="1" applyBorder="1" applyAlignment="1" applyProtection="1">
      <alignment horizontal="center" vertical="center"/>
      <protection/>
    </xf>
    <xf numFmtId="0" fontId="53" fillId="0" borderId="38" xfId="0" applyNumberFormat="1" applyFont="1" applyFill="1" applyBorder="1" applyAlignment="1" applyProtection="1">
      <alignment horizontal="left" vertical="center"/>
      <protection/>
    </xf>
    <xf numFmtId="0" fontId="53" fillId="0" borderId="24" xfId="0" applyNumberFormat="1" applyFont="1" applyFill="1" applyBorder="1" applyAlignment="1" applyProtection="1">
      <alignment horizontal="left" vertical="center"/>
      <protection/>
    </xf>
    <xf numFmtId="0" fontId="47" fillId="0" borderId="36" xfId="0" applyNumberFormat="1" applyFont="1" applyFill="1" applyBorder="1" applyAlignment="1" applyProtection="1">
      <alignment horizontal="left" vertical="center"/>
      <protection/>
    </xf>
    <xf numFmtId="0" fontId="47" fillId="0" borderId="16" xfId="0" applyNumberFormat="1" applyFont="1" applyFill="1" applyBorder="1" applyAlignment="1" applyProtection="1">
      <alignment horizontal="left" vertical="center"/>
      <protection/>
    </xf>
    <xf numFmtId="0" fontId="47" fillId="0" borderId="21" xfId="0" applyNumberFormat="1" applyFont="1" applyFill="1" applyBorder="1" applyAlignment="1" applyProtection="1">
      <alignment horizontal="left" vertical="center"/>
      <protection/>
    </xf>
    <xf numFmtId="0" fontId="47" fillId="0" borderId="12" xfId="0" applyNumberFormat="1" applyFont="1" applyFill="1" applyBorder="1" applyAlignment="1" applyProtection="1">
      <alignment horizontal="left" vertical="center"/>
      <protection/>
    </xf>
    <xf numFmtId="0" fontId="47" fillId="0" borderId="39" xfId="0" applyNumberFormat="1" applyFont="1" applyFill="1" applyBorder="1" applyAlignment="1" applyProtection="1">
      <alignment horizontal="left" vertical="center"/>
      <protection/>
    </xf>
    <xf numFmtId="0" fontId="47" fillId="0" borderId="24" xfId="0" applyNumberFormat="1" applyFont="1" applyFill="1" applyBorder="1" applyAlignment="1" applyProtection="1">
      <alignment horizontal="left" vertical="center"/>
      <protection/>
    </xf>
    <xf numFmtId="0" fontId="48" fillId="0" borderId="37" xfId="0" applyNumberFormat="1" applyFont="1" applyFill="1" applyBorder="1" applyAlignment="1" applyProtection="1">
      <alignment horizontal="left" vertical="center"/>
      <protection/>
    </xf>
    <xf numFmtId="0" fontId="48" fillId="0" borderId="16" xfId="0" applyNumberFormat="1" applyFont="1" applyFill="1" applyBorder="1" applyAlignment="1" applyProtection="1">
      <alignment horizontal="left" vertical="center"/>
      <protection/>
    </xf>
    <xf numFmtId="0" fontId="48" fillId="0" borderId="0" xfId="0" applyNumberFormat="1" applyFont="1" applyFill="1" applyBorder="1" applyAlignment="1" applyProtection="1">
      <alignment horizontal="left" vertical="center"/>
      <protection/>
    </xf>
    <xf numFmtId="0" fontId="48" fillId="0" borderId="12" xfId="0" applyNumberFormat="1" applyFont="1" applyFill="1" applyBorder="1" applyAlignment="1" applyProtection="1">
      <alignment horizontal="left" vertical="center"/>
      <protection/>
    </xf>
    <xf numFmtId="0" fontId="47" fillId="0" borderId="38" xfId="0" applyNumberFormat="1" applyFont="1" applyFill="1" applyBorder="1" applyAlignment="1" applyProtection="1">
      <alignment horizontal="left" vertical="center"/>
      <protection/>
    </xf>
    <xf numFmtId="0" fontId="47" fillId="0" borderId="37" xfId="0" applyNumberFormat="1" applyFont="1" applyFill="1" applyBorder="1" applyAlignment="1" applyProtection="1">
      <alignment horizontal="left" vertical="center"/>
      <protection/>
    </xf>
    <xf numFmtId="0" fontId="47" fillId="35" borderId="39" xfId="0" applyNumberFormat="1" applyFont="1" applyFill="1" applyBorder="1" applyAlignment="1" applyProtection="1">
      <alignment horizontal="left" vertical="center"/>
      <protection/>
    </xf>
    <xf numFmtId="0" fontId="47" fillId="35" borderId="38" xfId="0" applyNumberFormat="1" applyFont="1" applyFill="1" applyBorder="1" applyAlignment="1" applyProtection="1">
      <alignment horizontal="left" vertical="center"/>
      <protection/>
    </xf>
    <xf numFmtId="0" fontId="47" fillId="35" borderId="36" xfId="0" applyNumberFormat="1" applyFont="1" applyFill="1" applyBorder="1" applyAlignment="1" applyProtection="1">
      <alignment horizontal="left" vertical="center"/>
      <protection/>
    </xf>
    <xf numFmtId="0" fontId="47" fillId="35" borderId="37" xfId="0" applyNumberFormat="1" applyFont="1" applyFill="1" applyBorder="1" applyAlignment="1" applyProtection="1">
      <alignment horizontal="left" vertical="center"/>
      <protection/>
    </xf>
    <xf numFmtId="0" fontId="48" fillId="0" borderId="40" xfId="0" applyNumberFormat="1" applyFont="1" applyFill="1" applyBorder="1" applyAlignment="1" applyProtection="1">
      <alignment horizontal="left" vertical="center"/>
      <protection/>
    </xf>
    <xf numFmtId="0" fontId="48" fillId="0" borderId="41" xfId="0" applyNumberFormat="1" applyFont="1" applyFill="1" applyBorder="1" applyAlignment="1" applyProtection="1">
      <alignment horizontal="left" vertical="center"/>
      <protection/>
    </xf>
    <xf numFmtId="0" fontId="48" fillId="0" borderId="42" xfId="0" applyNumberFormat="1" applyFont="1" applyFill="1" applyBorder="1" applyAlignment="1" applyProtection="1">
      <alignment horizontal="left" vertical="center"/>
      <protection/>
    </xf>
    <xf numFmtId="0" fontId="48" fillId="0" borderId="30" xfId="0" applyNumberFormat="1" applyFont="1" applyFill="1" applyBorder="1" applyAlignment="1" applyProtection="1">
      <alignment horizontal="left" vertical="center"/>
      <protection/>
    </xf>
    <xf numFmtId="0" fontId="48" fillId="0" borderId="26" xfId="0" applyNumberFormat="1" applyFont="1" applyFill="1" applyBorder="1" applyAlignment="1" applyProtection="1">
      <alignment horizontal="left" vertical="center"/>
      <protection/>
    </xf>
    <xf numFmtId="0" fontId="48" fillId="0" borderId="13" xfId="0" applyNumberFormat="1" applyFont="1" applyFill="1" applyBorder="1" applyAlignment="1" applyProtection="1">
      <alignment horizontal="left" vertical="center"/>
      <protection/>
    </xf>
    <xf numFmtId="0" fontId="48" fillId="0" borderId="43" xfId="0" applyNumberFormat="1" applyFont="1" applyFill="1" applyBorder="1" applyAlignment="1" applyProtection="1">
      <alignment horizontal="left" vertical="center"/>
      <protection/>
    </xf>
    <xf numFmtId="0" fontId="48" fillId="0" borderId="44" xfId="0" applyNumberFormat="1" applyFont="1" applyFill="1" applyBorder="1" applyAlignment="1" applyProtection="1">
      <alignment horizontal="left" vertical="center"/>
      <protection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0" fontId="46" fillId="0" borderId="34" xfId="0" applyNumberFormat="1" applyFont="1" applyFill="1" applyBorder="1" applyAlignment="1" applyProtection="1">
      <alignment horizontal="left" vertical="center"/>
      <protection/>
    </xf>
    <xf numFmtId="0" fontId="46" fillId="0" borderId="35" xfId="0" applyNumberFormat="1" applyFont="1" applyFill="1" applyBorder="1" applyAlignment="1" applyProtection="1">
      <alignment horizontal="left" vertical="center"/>
      <protection/>
    </xf>
    <xf numFmtId="0" fontId="46" fillId="0" borderId="15" xfId="0" applyNumberFormat="1" applyFont="1" applyFill="1" applyBorder="1" applyAlignment="1" applyProtection="1">
      <alignment horizontal="left" vertical="center"/>
      <protection/>
    </xf>
    <xf numFmtId="0" fontId="46" fillId="0" borderId="45" xfId="0" applyNumberFormat="1" applyFont="1" applyFill="1" applyBorder="1" applyAlignment="1" applyProtection="1">
      <alignment horizontal="left" vertical="center"/>
      <protection/>
    </xf>
    <xf numFmtId="0" fontId="46" fillId="0" borderId="46" xfId="0" applyNumberFormat="1" applyFont="1" applyFill="1" applyBorder="1" applyAlignment="1" applyProtection="1">
      <alignment horizontal="left" vertical="center"/>
      <protection/>
    </xf>
    <xf numFmtId="0" fontId="46" fillId="0" borderId="25" xfId="0" applyNumberFormat="1" applyFont="1" applyFill="1" applyBorder="1" applyAlignment="1" applyProtection="1">
      <alignment horizontal="left" vertical="center"/>
      <protection/>
    </xf>
    <xf numFmtId="0" fontId="47" fillId="0" borderId="45" xfId="0" applyNumberFormat="1" applyFont="1" applyFill="1" applyBorder="1" applyAlignment="1" applyProtection="1">
      <alignment horizontal="left" vertical="center"/>
      <protection/>
    </xf>
    <xf numFmtId="0" fontId="47" fillId="0" borderId="46" xfId="0" applyNumberFormat="1" applyFont="1" applyFill="1" applyBorder="1" applyAlignment="1" applyProtection="1">
      <alignment horizontal="left" vertical="center"/>
      <protection/>
    </xf>
    <xf numFmtId="0" fontId="47" fillId="0" borderId="25" xfId="0" applyNumberFormat="1" applyFont="1" applyFill="1" applyBorder="1" applyAlignment="1" applyProtection="1">
      <alignment horizontal="left" vertical="center"/>
      <protection/>
    </xf>
    <xf numFmtId="4" fontId="47" fillId="0" borderId="46" xfId="0" applyNumberFormat="1" applyFont="1" applyFill="1" applyBorder="1" applyAlignment="1" applyProtection="1">
      <alignment horizontal="right" vertical="center"/>
      <protection/>
    </xf>
    <xf numFmtId="0" fontId="47" fillId="0" borderId="46" xfId="0" applyNumberFormat="1" applyFont="1" applyFill="1" applyBorder="1" applyAlignment="1" applyProtection="1">
      <alignment horizontal="right" vertical="center"/>
      <protection/>
    </xf>
    <xf numFmtId="0" fontId="47" fillId="0" borderId="25" xfId="0" applyNumberFormat="1" applyFont="1" applyFill="1" applyBorder="1" applyAlignment="1" applyProtection="1">
      <alignment horizontal="right" vertical="center"/>
      <protection/>
    </xf>
  </cellXfs>
  <cellStyles count="4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0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116"/>
  <sheetViews>
    <sheetView showOutlineSymbols="0" zoomScalePageLayoutView="0" workbookViewId="0" topLeftCell="A1">
      <pane ySplit="11" topLeftCell="A12" activePane="bottomLeft" state="frozen"/>
      <selection pane="topLeft" activeCell="A116" sqref="A116:L116"/>
      <selection pane="bottomLeft" activeCell="A12" sqref="A12"/>
    </sheetView>
  </sheetViews>
  <sheetFormatPr defaultColWidth="17" defaultRowHeight="15" customHeight="1"/>
  <cols>
    <col min="1" max="1" width="5.59765625" style="0" customWidth="1"/>
    <col min="2" max="2" width="25" style="0" customWidth="1"/>
    <col min="3" max="3" width="2" style="0" customWidth="1"/>
    <col min="4" max="4" width="50" style="0" customWidth="1"/>
    <col min="5" max="5" width="10.19921875" style="0" customWidth="1"/>
    <col min="6" max="6" width="18" style="0" customWidth="1"/>
    <col min="7" max="7" width="16.796875" style="0" customWidth="1"/>
    <col min="8" max="10" width="22" style="0" customWidth="1"/>
    <col min="11" max="11" width="18.796875" style="0" customWidth="1"/>
    <col min="12" max="24" width="17" style="0" customWidth="1"/>
    <col min="25" max="75" width="17" style="0" hidden="1" customWidth="1"/>
  </cols>
  <sheetData>
    <row r="1" spans="1:47" ht="54.75" customHeight="1">
      <c r="A1" s="79" t="s">
        <v>428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AS1" s="50">
        <f>SUM(AJ1:AJ2)</f>
        <v>0</v>
      </c>
      <c r="AT1" s="50">
        <f>SUM(AK1:AK2)</f>
        <v>0</v>
      </c>
      <c r="AU1" s="50">
        <f>SUM(AL1:AL2)</f>
        <v>0</v>
      </c>
    </row>
    <row r="2" spans="1:12" ht="15" customHeight="1">
      <c r="A2" s="80" t="s">
        <v>29</v>
      </c>
      <c r="B2" s="81"/>
      <c r="C2" s="94" t="s">
        <v>123</v>
      </c>
      <c r="D2" s="95"/>
      <c r="E2" s="95"/>
      <c r="F2" s="95"/>
      <c r="G2" s="81" t="s">
        <v>2</v>
      </c>
      <c r="H2" s="81"/>
      <c r="I2" s="81" t="s">
        <v>347</v>
      </c>
      <c r="J2" s="85" t="s">
        <v>306</v>
      </c>
      <c r="K2" s="85" t="s">
        <v>425</v>
      </c>
      <c r="L2" s="89"/>
    </row>
    <row r="3" spans="1:12" ht="15" customHeight="1">
      <c r="A3" s="82"/>
      <c r="B3" s="83"/>
      <c r="C3" s="87"/>
      <c r="D3" s="87"/>
      <c r="E3" s="87"/>
      <c r="F3" s="87"/>
      <c r="G3" s="83"/>
      <c r="H3" s="83"/>
      <c r="I3" s="83"/>
      <c r="J3" s="83"/>
      <c r="K3" s="83"/>
      <c r="L3" s="90"/>
    </row>
    <row r="4" spans="1:12" ht="15" customHeight="1">
      <c r="A4" s="84" t="s">
        <v>202</v>
      </c>
      <c r="B4" s="83"/>
      <c r="C4" s="86" t="s">
        <v>426</v>
      </c>
      <c r="D4" s="87"/>
      <c r="E4" s="87"/>
      <c r="F4" s="87"/>
      <c r="G4" s="83" t="s">
        <v>328</v>
      </c>
      <c r="H4" s="83"/>
      <c r="I4" s="83" t="s">
        <v>247</v>
      </c>
      <c r="J4" s="88" t="s">
        <v>252</v>
      </c>
      <c r="K4" s="88" t="s">
        <v>238</v>
      </c>
      <c r="L4" s="90"/>
    </row>
    <row r="5" spans="1:12" ht="15" customHeight="1">
      <c r="A5" s="82"/>
      <c r="B5" s="83"/>
      <c r="C5" s="87"/>
      <c r="D5" s="87"/>
      <c r="E5" s="87"/>
      <c r="F5" s="87"/>
      <c r="G5" s="83"/>
      <c r="H5" s="83"/>
      <c r="I5" s="83"/>
      <c r="J5" s="83"/>
      <c r="K5" s="83"/>
      <c r="L5" s="90"/>
    </row>
    <row r="6" spans="1:12" ht="15" customHeight="1">
      <c r="A6" s="84" t="s">
        <v>37</v>
      </c>
      <c r="B6" s="83"/>
      <c r="C6" s="88" t="s">
        <v>344</v>
      </c>
      <c r="D6" s="83"/>
      <c r="E6" s="83"/>
      <c r="F6" s="83"/>
      <c r="G6" s="83" t="s">
        <v>122</v>
      </c>
      <c r="H6" s="83"/>
      <c r="I6" s="83" t="s">
        <v>58</v>
      </c>
      <c r="J6" s="88" t="s">
        <v>323</v>
      </c>
      <c r="K6" s="88" t="s">
        <v>408</v>
      </c>
      <c r="L6" s="90"/>
    </row>
    <row r="7" spans="1:12" ht="15" customHeight="1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90"/>
    </row>
    <row r="8" spans="1:12" ht="15" customHeight="1">
      <c r="A8" s="84" t="s">
        <v>179</v>
      </c>
      <c r="B8" s="83"/>
      <c r="C8" s="88" t="s">
        <v>344</v>
      </c>
      <c r="D8" s="83"/>
      <c r="E8" s="83"/>
      <c r="F8" s="83"/>
      <c r="G8" s="83" t="s">
        <v>206</v>
      </c>
      <c r="H8" s="83"/>
      <c r="I8" s="83" t="s">
        <v>166</v>
      </c>
      <c r="J8" s="88" t="s">
        <v>243</v>
      </c>
      <c r="K8" s="88" t="s">
        <v>256</v>
      </c>
      <c r="L8" s="90"/>
    </row>
    <row r="9" spans="1:12" ht="15" customHeigh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91"/>
    </row>
    <row r="10" spans="1:75" ht="15" customHeight="1">
      <c r="A10" s="59" t="s">
        <v>34</v>
      </c>
      <c r="B10" s="37" t="s">
        <v>124</v>
      </c>
      <c r="C10" s="92" t="s">
        <v>409</v>
      </c>
      <c r="D10" s="93"/>
      <c r="E10" s="37" t="s">
        <v>130</v>
      </c>
      <c r="F10" s="17" t="s">
        <v>217</v>
      </c>
      <c r="G10" s="74" t="s">
        <v>119</v>
      </c>
      <c r="H10" s="97" t="s">
        <v>231</v>
      </c>
      <c r="I10" s="98"/>
      <c r="J10" s="99"/>
      <c r="K10" s="55" t="s">
        <v>107</v>
      </c>
      <c r="L10" s="8"/>
      <c r="BK10" s="65" t="s">
        <v>152</v>
      </c>
      <c r="BL10" s="68" t="s">
        <v>197</v>
      </c>
      <c r="BW10" s="68" t="s">
        <v>418</v>
      </c>
    </row>
    <row r="11" spans="1:62" ht="15" customHeight="1">
      <c r="A11" s="28" t="s">
        <v>344</v>
      </c>
      <c r="B11" s="5" t="s">
        <v>344</v>
      </c>
      <c r="C11" s="87" t="s">
        <v>376</v>
      </c>
      <c r="D11" s="96"/>
      <c r="E11" s="5" t="s">
        <v>344</v>
      </c>
      <c r="F11" s="5" t="s">
        <v>344</v>
      </c>
      <c r="G11" s="57" t="s">
        <v>354</v>
      </c>
      <c r="H11" s="20" t="s">
        <v>21</v>
      </c>
      <c r="I11" s="29" t="s">
        <v>77</v>
      </c>
      <c r="J11" s="7" t="s">
        <v>46</v>
      </c>
      <c r="K11" s="7" t="s">
        <v>102</v>
      </c>
      <c r="L11" s="8"/>
      <c r="Z11" s="65" t="s">
        <v>282</v>
      </c>
      <c r="AA11" s="65" t="s">
        <v>222</v>
      </c>
      <c r="AB11" s="65" t="s">
        <v>389</v>
      </c>
      <c r="AC11" s="65" t="s">
        <v>108</v>
      </c>
      <c r="AD11" s="65" t="s">
        <v>313</v>
      </c>
      <c r="AE11" s="65" t="s">
        <v>143</v>
      </c>
      <c r="AF11" s="65" t="s">
        <v>333</v>
      </c>
      <c r="AG11" s="65" t="s">
        <v>161</v>
      </c>
      <c r="AH11" s="65" t="s">
        <v>104</v>
      </c>
      <c r="BH11" s="65" t="s">
        <v>283</v>
      </c>
      <c r="BI11" s="65" t="s">
        <v>380</v>
      </c>
      <c r="BJ11" s="65" t="s">
        <v>414</v>
      </c>
    </row>
    <row r="12" spans="1:47" ht="15" customHeight="1">
      <c r="A12" s="35" t="s">
        <v>255</v>
      </c>
      <c r="B12" s="61" t="s">
        <v>296</v>
      </c>
      <c r="C12" s="100" t="s">
        <v>316</v>
      </c>
      <c r="D12" s="101"/>
      <c r="E12" s="18" t="s">
        <v>344</v>
      </c>
      <c r="F12" s="18" t="s">
        <v>344</v>
      </c>
      <c r="G12" s="18" t="s">
        <v>344</v>
      </c>
      <c r="H12" s="3">
        <f>SUM(H13:H20)</f>
        <v>0</v>
      </c>
      <c r="I12" s="3">
        <f>SUM(I13:I20)</f>
        <v>0</v>
      </c>
      <c r="J12" s="3">
        <f>SUM(J13:J20)</f>
        <v>0</v>
      </c>
      <c r="K12" s="64" t="s">
        <v>255</v>
      </c>
      <c r="L12" s="8"/>
      <c r="AI12" s="65" t="s">
        <v>255</v>
      </c>
      <c r="AS12" s="50">
        <f>SUM(AJ13:AJ20)</f>
        <v>0</v>
      </c>
      <c r="AT12" s="50">
        <f>SUM(AK13:AK20)</f>
        <v>0</v>
      </c>
      <c r="AU12" s="50">
        <f>SUM(AL13:AL20)</f>
        <v>0</v>
      </c>
    </row>
    <row r="13" spans="1:75" ht="13.5" customHeight="1">
      <c r="A13" s="6" t="s">
        <v>372</v>
      </c>
      <c r="B13" s="25" t="s">
        <v>188</v>
      </c>
      <c r="C13" s="102" t="s">
        <v>274</v>
      </c>
      <c r="D13" s="103"/>
      <c r="E13" s="25" t="s">
        <v>366</v>
      </c>
      <c r="F13" s="15">
        <v>20</v>
      </c>
      <c r="G13" s="75">
        <v>0</v>
      </c>
      <c r="H13" s="15">
        <f aca="true" t="shared" si="0" ref="H13:H20">F13*AO13</f>
        <v>0</v>
      </c>
      <c r="I13" s="15">
        <f aca="true" t="shared" si="1" ref="I13:I20">F13*AP13</f>
        <v>0</v>
      </c>
      <c r="J13" s="15">
        <f aca="true" t="shared" si="2" ref="J13:J20">F13*G13</f>
        <v>0</v>
      </c>
      <c r="K13" s="22" t="s">
        <v>250</v>
      </c>
      <c r="L13" s="8"/>
      <c r="Z13" s="43">
        <f aca="true" t="shared" si="3" ref="Z13:Z20">IF(AQ13="5",BJ13,0)</f>
        <v>0</v>
      </c>
      <c r="AB13" s="43">
        <f aca="true" t="shared" si="4" ref="AB13:AB20">IF(AQ13="1",BH13,0)</f>
        <v>0</v>
      </c>
      <c r="AC13" s="43">
        <f aca="true" t="shared" si="5" ref="AC13:AC20">IF(AQ13="1",BI13,0)</f>
        <v>0</v>
      </c>
      <c r="AD13" s="43">
        <f aca="true" t="shared" si="6" ref="AD13:AD20">IF(AQ13="7",BH13,0)</f>
        <v>0</v>
      </c>
      <c r="AE13" s="43">
        <f aca="true" t="shared" si="7" ref="AE13:AE20">IF(AQ13="7",BI13,0)</f>
        <v>0</v>
      </c>
      <c r="AF13" s="43">
        <f aca="true" t="shared" si="8" ref="AF13:AF20">IF(AQ13="2",BH13,0)</f>
        <v>0</v>
      </c>
      <c r="AG13" s="43">
        <f aca="true" t="shared" si="9" ref="AG13:AG20">IF(AQ13="2",BI13,0)</f>
        <v>0</v>
      </c>
      <c r="AH13" s="43">
        <f aca="true" t="shared" si="10" ref="AH13:AH20">IF(AQ13="0",BJ13,0)</f>
        <v>0</v>
      </c>
      <c r="AI13" s="65" t="s">
        <v>255</v>
      </c>
      <c r="AJ13" s="43">
        <f aca="true" t="shared" si="11" ref="AJ13:AJ20">IF(AN13=0,J13,0)</f>
        <v>0</v>
      </c>
      <c r="AK13" s="43">
        <f aca="true" t="shared" si="12" ref="AK13:AK20">IF(AN13=15,J13,0)</f>
        <v>0</v>
      </c>
      <c r="AL13" s="43">
        <f aca="true" t="shared" si="13" ref="AL13:AL20">IF(AN13=21,J13,0)</f>
        <v>0</v>
      </c>
      <c r="AN13" s="43">
        <v>21</v>
      </c>
      <c r="AO13" s="43">
        <f>G13*0</f>
        <v>0</v>
      </c>
      <c r="AP13" s="43">
        <f>G13*(1-0)</f>
        <v>0</v>
      </c>
      <c r="AQ13" s="62" t="s">
        <v>375</v>
      </c>
      <c r="AV13" s="43">
        <f aca="true" t="shared" si="14" ref="AV13:AV20">AW13+AX13</f>
        <v>0</v>
      </c>
      <c r="AW13" s="43">
        <f aca="true" t="shared" si="15" ref="AW13:AW20">F13*AO13</f>
        <v>0</v>
      </c>
      <c r="AX13" s="43">
        <f aca="true" t="shared" si="16" ref="AX13:AX20">F13*AP13</f>
        <v>0</v>
      </c>
      <c r="AY13" s="62" t="s">
        <v>281</v>
      </c>
      <c r="AZ13" s="62" t="s">
        <v>297</v>
      </c>
      <c r="BA13" s="65" t="s">
        <v>275</v>
      </c>
      <c r="BC13" s="43">
        <f aca="true" t="shared" si="17" ref="BC13:BC20">AW13+AX13</f>
        <v>0</v>
      </c>
      <c r="BD13" s="43">
        <f aca="true" t="shared" si="18" ref="BD13:BD20">G13/(100-BE13)*100</f>
        <v>0</v>
      </c>
      <c r="BE13" s="43">
        <v>0</v>
      </c>
      <c r="BF13" s="43">
        <f>13</f>
        <v>13</v>
      </c>
      <c r="BH13" s="43">
        <f aca="true" t="shared" si="19" ref="BH13:BH20">F13*AO13</f>
        <v>0</v>
      </c>
      <c r="BI13" s="43">
        <f aca="true" t="shared" si="20" ref="BI13:BI20">F13*AP13</f>
        <v>0</v>
      </c>
      <c r="BJ13" s="43">
        <f aca="true" t="shared" si="21" ref="BJ13:BJ20">F13*G13</f>
        <v>0</v>
      </c>
      <c r="BK13" s="43"/>
      <c r="BL13" s="43">
        <v>713</v>
      </c>
      <c r="BW13" s="43">
        <v>21</v>
      </c>
    </row>
    <row r="14" spans="1:75" ht="27" customHeight="1">
      <c r="A14" s="6" t="s">
        <v>251</v>
      </c>
      <c r="B14" s="25" t="s">
        <v>12</v>
      </c>
      <c r="C14" s="102" t="s">
        <v>190</v>
      </c>
      <c r="D14" s="103"/>
      <c r="E14" s="25" t="s">
        <v>171</v>
      </c>
      <c r="F14" s="15">
        <v>0.1</v>
      </c>
      <c r="G14" s="75">
        <v>0</v>
      </c>
      <c r="H14" s="15">
        <f t="shared" si="0"/>
        <v>0</v>
      </c>
      <c r="I14" s="15">
        <f t="shared" si="1"/>
        <v>0</v>
      </c>
      <c r="J14" s="15">
        <f t="shared" si="2"/>
        <v>0</v>
      </c>
      <c r="K14" s="22" t="s">
        <v>250</v>
      </c>
      <c r="L14" s="8"/>
      <c r="Z14" s="43">
        <f t="shared" si="3"/>
        <v>0</v>
      </c>
      <c r="AB14" s="43">
        <f t="shared" si="4"/>
        <v>0</v>
      </c>
      <c r="AC14" s="43">
        <f t="shared" si="5"/>
        <v>0</v>
      </c>
      <c r="AD14" s="43">
        <f t="shared" si="6"/>
        <v>0</v>
      </c>
      <c r="AE14" s="43">
        <f t="shared" si="7"/>
        <v>0</v>
      </c>
      <c r="AF14" s="43">
        <f t="shared" si="8"/>
        <v>0</v>
      </c>
      <c r="AG14" s="43">
        <f t="shared" si="9"/>
        <v>0</v>
      </c>
      <c r="AH14" s="43">
        <f t="shared" si="10"/>
        <v>0</v>
      </c>
      <c r="AI14" s="65" t="s">
        <v>255</v>
      </c>
      <c r="AJ14" s="43">
        <f t="shared" si="11"/>
        <v>0</v>
      </c>
      <c r="AK14" s="43">
        <f t="shared" si="12"/>
        <v>0</v>
      </c>
      <c r="AL14" s="43">
        <f t="shared" si="13"/>
        <v>0</v>
      </c>
      <c r="AN14" s="43">
        <v>21</v>
      </c>
      <c r="AO14" s="43">
        <f>G14*0</f>
        <v>0</v>
      </c>
      <c r="AP14" s="43">
        <f>G14*(1-0)</f>
        <v>0</v>
      </c>
      <c r="AQ14" s="62" t="s">
        <v>201</v>
      </c>
      <c r="AV14" s="43">
        <f t="shared" si="14"/>
        <v>0</v>
      </c>
      <c r="AW14" s="43">
        <f t="shared" si="15"/>
        <v>0</v>
      </c>
      <c r="AX14" s="43">
        <f t="shared" si="16"/>
        <v>0</v>
      </c>
      <c r="AY14" s="62" t="s">
        <v>281</v>
      </c>
      <c r="AZ14" s="62" t="s">
        <v>297</v>
      </c>
      <c r="BA14" s="65" t="s">
        <v>275</v>
      </c>
      <c r="BC14" s="43">
        <f t="shared" si="17"/>
        <v>0</v>
      </c>
      <c r="BD14" s="43">
        <f t="shared" si="18"/>
        <v>0</v>
      </c>
      <c r="BE14" s="43">
        <v>0</v>
      </c>
      <c r="BF14" s="43">
        <f>14</f>
        <v>14</v>
      </c>
      <c r="BH14" s="43">
        <f t="shared" si="19"/>
        <v>0</v>
      </c>
      <c r="BI14" s="43">
        <f t="shared" si="20"/>
        <v>0</v>
      </c>
      <c r="BJ14" s="43">
        <f t="shared" si="21"/>
        <v>0</v>
      </c>
      <c r="BK14" s="43"/>
      <c r="BL14" s="43">
        <v>713</v>
      </c>
      <c r="BW14" s="43">
        <v>21</v>
      </c>
    </row>
    <row r="15" spans="1:75" ht="27" customHeight="1">
      <c r="A15" s="6" t="s">
        <v>320</v>
      </c>
      <c r="B15" s="25" t="s">
        <v>204</v>
      </c>
      <c r="C15" s="102" t="s">
        <v>13</v>
      </c>
      <c r="D15" s="103"/>
      <c r="E15" s="25" t="s">
        <v>366</v>
      </c>
      <c r="F15" s="15">
        <v>21</v>
      </c>
      <c r="G15" s="75">
        <v>0</v>
      </c>
      <c r="H15" s="15">
        <f t="shared" si="0"/>
        <v>0</v>
      </c>
      <c r="I15" s="15">
        <f t="shared" si="1"/>
        <v>0</v>
      </c>
      <c r="J15" s="15">
        <f t="shared" si="2"/>
        <v>0</v>
      </c>
      <c r="K15" s="22" t="s">
        <v>250</v>
      </c>
      <c r="L15" s="8"/>
      <c r="Z15" s="43">
        <f t="shared" si="3"/>
        <v>0</v>
      </c>
      <c r="AB15" s="43">
        <f t="shared" si="4"/>
        <v>0</v>
      </c>
      <c r="AC15" s="43">
        <f t="shared" si="5"/>
        <v>0</v>
      </c>
      <c r="AD15" s="43">
        <f t="shared" si="6"/>
        <v>0</v>
      </c>
      <c r="AE15" s="43">
        <f t="shared" si="7"/>
        <v>0</v>
      </c>
      <c r="AF15" s="43">
        <f t="shared" si="8"/>
        <v>0</v>
      </c>
      <c r="AG15" s="43">
        <f t="shared" si="9"/>
        <v>0</v>
      </c>
      <c r="AH15" s="43">
        <f t="shared" si="10"/>
        <v>0</v>
      </c>
      <c r="AI15" s="65" t="s">
        <v>255</v>
      </c>
      <c r="AJ15" s="43">
        <f t="shared" si="11"/>
        <v>0</v>
      </c>
      <c r="AK15" s="43">
        <f t="shared" si="12"/>
        <v>0</v>
      </c>
      <c r="AL15" s="43">
        <f t="shared" si="13"/>
        <v>0</v>
      </c>
      <c r="AN15" s="43">
        <v>21</v>
      </c>
      <c r="AO15" s="43">
        <f>G15*0.114674922600619</f>
        <v>0</v>
      </c>
      <c r="AP15" s="43">
        <f>G15*(1-0.114674922600619)</f>
        <v>0</v>
      </c>
      <c r="AQ15" s="62" t="s">
        <v>375</v>
      </c>
      <c r="AV15" s="43">
        <f t="shared" si="14"/>
        <v>0</v>
      </c>
      <c r="AW15" s="43">
        <f t="shared" si="15"/>
        <v>0</v>
      </c>
      <c r="AX15" s="43">
        <f t="shared" si="16"/>
        <v>0</v>
      </c>
      <c r="AY15" s="62" t="s">
        <v>281</v>
      </c>
      <c r="AZ15" s="62" t="s">
        <v>297</v>
      </c>
      <c r="BA15" s="65" t="s">
        <v>275</v>
      </c>
      <c r="BC15" s="43">
        <f t="shared" si="17"/>
        <v>0</v>
      </c>
      <c r="BD15" s="43">
        <f t="shared" si="18"/>
        <v>0</v>
      </c>
      <c r="BE15" s="43">
        <v>0</v>
      </c>
      <c r="BF15" s="43">
        <f>15</f>
        <v>15</v>
      </c>
      <c r="BH15" s="43">
        <f t="shared" si="19"/>
        <v>0</v>
      </c>
      <c r="BI15" s="43">
        <f t="shared" si="20"/>
        <v>0</v>
      </c>
      <c r="BJ15" s="43">
        <f t="shared" si="21"/>
        <v>0</v>
      </c>
      <c r="BK15" s="43"/>
      <c r="BL15" s="43">
        <v>713</v>
      </c>
      <c r="BW15" s="43">
        <v>21</v>
      </c>
    </row>
    <row r="16" spans="1:75" ht="13.5" customHeight="1">
      <c r="A16" s="53" t="s">
        <v>49</v>
      </c>
      <c r="B16" s="12" t="s">
        <v>400</v>
      </c>
      <c r="C16" s="88" t="s">
        <v>309</v>
      </c>
      <c r="D16" s="83"/>
      <c r="E16" s="12" t="s">
        <v>302</v>
      </c>
      <c r="F16" s="43">
        <v>12</v>
      </c>
      <c r="G16" s="75">
        <v>0</v>
      </c>
      <c r="H16" s="43">
        <f t="shared" si="0"/>
        <v>0</v>
      </c>
      <c r="I16" s="43">
        <f t="shared" si="1"/>
        <v>0</v>
      </c>
      <c r="J16" s="43">
        <f t="shared" si="2"/>
        <v>0</v>
      </c>
      <c r="K16" s="62" t="s">
        <v>250</v>
      </c>
      <c r="L16" s="8"/>
      <c r="Z16" s="43">
        <f t="shared" si="3"/>
        <v>0</v>
      </c>
      <c r="AB16" s="43">
        <f t="shared" si="4"/>
        <v>0</v>
      </c>
      <c r="AC16" s="43">
        <f t="shared" si="5"/>
        <v>0</v>
      </c>
      <c r="AD16" s="43">
        <f t="shared" si="6"/>
        <v>0</v>
      </c>
      <c r="AE16" s="43">
        <f t="shared" si="7"/>
        <v>0</v>
      </c>
      <c r="AF16" s="43">
        <f t="shared" si="8"/>
        <v>0</v>
      </c>
      <c r="AG16" s="43">
        <f t="shared" si="9"/>
        <v>0</v>
      </c>
      <c r="AH16" s="43">
        <f t="shared" si="10"/>
        <v>0</v>
      </c>
      <c r="AI16" s="65" t="s">
        <v>255</v>
      </c>
      <c r="AJ16" s="43">
        <f t="shared" si="11"/>
        <v>0</v>
      </c>
      <c r="AK16" s="43">
        <f t="shared" si="12"/>
        <v>0</v>
      </c>
      <c r="AL16" s="43">
        <f t="shared" si="13"/>
        <v>0</v>
      </c>
      <c r="AN16" s="43">
        <v>21</v>
      </c>
      <c r="AO16" s="43">
        <f>G16*1</f>
        <v>0</v>
      </c>
      <c r="AP16" s="43">
        <f>G16*(1-1)</f>
        <v>0</v>
      </c>
      <c r="AQ16" s="62" t="s">
        <v>375</v>
      </c>
      <c r="AV16" s="43">
        <f t="shared" si="14"/>
        <v>0</v>
      </c>
      <c r="AW16" s="43">
        <f t="shared" si="15"/>
        <v>0</v>
      </c>
      <c r="AX16" s="43">
        <f t="shared" si="16"/>
        <v>0</v>
      </c>
      <c r="AY16" s="62" t="s">
        <v>281</v>
      </c>
      <c r="AZ16" s="62" t="s">
        <v>297</v>
      </c>
      <c r="BA16" s="65" t="s">
        <v>275</v>
      </c>
      <c r="BC16" s="43">
        <f t="shared" si="17"/>
        <v>0</v>
      </c>
      <c r="BD16" s="43">
        <f t="shared" si="18"/>
        <v>0</v>
      </c>
      <c r="BE16" s="43">
        <v>0</v>
      </c>
      <c r="BF16" s="43">
        <f>16</f>
        <v>16</v>
      </c>
      <c r="BH16" s="43">
        <f t="shared" si="19"/>
        <v>0</v>
      </c>
      <c r="BI16" s="43">
        <f t="shared" si="20"/>
        <v>0</v>
      </c>
      <c r="BJ16" s="43">
        <f t="shared" si="21"/>
        <v>0</v>
      </c>
      <c r="BK16" s="43"/>
      <c r="BL16" s="43">
        <v>713</v>
      </c>
      <c r="BW16" s="43">
        <v>21</v>
      </c>
    </row>
    <row r="17" spans="1:75" ht="13.5" customHeight="1">
      <c r="A17" s="53" t="s">
        <v>201</v>
      </c>
      <c r="B17" s="12" t="s">
        <v>373</v>
      </c>
      <c r="C17" s="88" t="s">
        <v>65</v>
      </c>
      <c r="D17" s="83"/>
      <c r="E17" s="12" t="s">
        <v>302</v>
      </c>
      <c r="F17" s="43">
        <v>6</v>
      </c>
      <c r="G17" s="75">
        <v>0</v>
      </c>
      <c r="H17" s="43">
        <f t="shared" si="0"/>
        <v>0</v>
      </c>
      <c r="I17" s="43">
        <f t="shared" si="1"/>
        <v>0</v>
      </c>
      <c r="J17" s="43">
        <f t="shared" si="2"/>
        <v>0</v>
      </c>
      <c r="K17" s="62" t="s">
        <v>250</v>
      </c>
      <c r="L17" s="8"/>
      <c r="Z17" s="43">
        <f t="shared" si="3"/>
        <v>0</v>
      </c>
      <c r="AB17" s="43">
        <f t="shared" si="4"/>
        <v>0</v>
      </c>
      <c r="AC17" s="43">
        <f t="shared" si="5"/>
        <v>0</v>
      </c>
      <c r="AD17" s="43">
        <f t="shared" si="6"/>
        <v>0</v>
      </c>
      <c r="AE17" s="43">
        <f t="shared" si="7"/>
        <v>0</v>
      </c>
      <c r="AF17" s="43">
        <f t="shared" si="8"/>
        <v>0</v>
      </c>
      <c r="AG17" s="43">
        <f t="shared" si="9"/>
        <v>0</v>
      </c>
      <c r="AH17" s="43">
        <f t="shared" si="10"/>
        <v>0</v>
      </c>
      <c r="AI17" s="65" t="s">
        <v>255</v>
      </c>
      <c r="AJ17" s="43">
        <f t="shared" si="11"/>
        <v>0</v>
      </c>
      <c r="AK17" s="43">
        <f t="shared" si="12"/>
        <v>0</v>
      </c>
      <c r="AL17" s="43">
        <f t="shared" si="13"/>
        <v>0</v>
      </c>
      <c r="AN17" s="43">
        <v>21</v>
      </c>
      <c r="AO17" s="43">
        <f>G17*1</f>
        <v>0</v>
      </c>
      <c r="AP17" s="43">
        <f>G17*(1-1)</f>
        <v>0</v>
      </c>
      <c r="AQ17" s="62" t="s">
        <v>375</v>
      </c>
      <c r="AV17" s="43">
        <f t="shared" si="14"/>
        <v>0</v>
      </c>
      <c r="AW17" s="43">
        <f t="shared" si="15"/>
        <v>0</v>
      </c>
      <c r="AX17" s="43">
        <f t="shared" si="16"/>
        <v>0</v>
      </c>
      <c r="AY17" s="62" t="s">
        <v>281</v>
      </c>
      <c r="AZ17" s="62" t="s">
        <v>297</v>
      </c>
      <c r="BA17" s="65" t="s">
        <v>275</v>
      </c>
      <c r="BC17" s="43">
        <f t="shared" si="17"/>
        <v>0</v>
      </c>
      <c r="BD17" s="43">
        <f t="shared" si="18"/>
        <v>0</v>
      </c>
      <c r="BE17" s="43">
        <v>0</v>
      </c>
      <c r="BF17" s="43">
        <f>17</f>
        <v>17</v>
      </c>
      <c r="BH17" s="43">
        <f t="shared" si="19"/>
        <v>0</v>
      </c>
      <c r="BI17" s="43">
        <f t="shared" si="20"/>
        <v>0</v>
      </c>
      <c r="BJ17" s="43">
        <f t="shared" si="21"/>
        <v>0</v>
      </c>
      <c r="BK17" s="43"/>
      <c r="BL17" s="43">
        <v>713</v>
      </c>
      <c r="BW17" s="43">
        <v>21</v>
      </c>
    </row>
    <row r="18" spans="1:75" ht="13.5" customHeight="1">
      <c r="A18" s="53" t="s">
        <v>66</v>
      </c>
      <c r="B18" s="12" t="s">
        <v>348</v>
      </c>
      <c r="C18" s="88" t="s">
        <v>134</v>
      </c>
      <c r="D18" s="83"/>
      <c r="E18" s="12" t="s">
        <v>302</v>
      </c>
      <c r="F18" s="43">
        <v>12</v>
      </c>
      <c r="G18" s="75">
        <v>0</v>
      </c>
      <c r="H18" s="43">
        <f t="shared" si="0"/>
        <v>0</v>
      </c>
      <c r="I18" s="43">
        <f t="shared" si="1"/>
        <v>0</v>
      </c>
      <c r="J18" s="43">
        <f t="shared" si="2"/>
        <v>0</v>
      </c>
      <c r="K18" s="62" t="s">
        <v>250</v>
      </c>
      <c r="L18" s="8"/>
      <c r="Z18" s="43">
        <f t="shared" si="3"/>
        <v>0</v>
      </c>
      <c r="AB18" s="43">
        <f t="shared" si="4"/>
        <v>0</v>
      </c>
      <c r="AC18" s="43">
        <f t="shared" si="5"/>
        <v>0</v>
      </c>
      <c r="AD18" s="43">
        <f t="shared" si="6"/>
        <v>0</v>
      </c>
      <c r="AE18" s="43">
        <f t="shared" si="7"/>
        <v>0</v>
      </c>
      <c r="AF18" s="43">
        <f t="shared" si="8"/>
        <v>0</v>
      </c>
      <c r="AG18" s="43">
        <f t="shared" si="9"/>
        <v>0</v>
      </c>
      <c r="AH18" s="43">
        <f t="shared" si="10"/>
        <v>0</v>
      </c>
      <c r="AI18" s="65" t="s">
        <v>255</v>
      </c>
      <c r="AJ18" s="43">
        <f t="shared" si="11"/>
        <v>0</v>
      </c>
      <c r="AK18" s="43">
        <f t="shared" si="12"/>
        <v>0</v>
      </c>
      <c r="AL18" s="43">
        <f t="shared" si="13"/>
        <v>0</v>
      </c>
      <c r="AN18" s="43">
        <v>21</v>
      </c>
      <c r="AO18" s="43">
        <f>G18*1</f>
        <v>0</v>
      </c>
      <c r="AP18" s="43">
        <f>G18*(1-1)</f>
        <v>0</v>
      </c>
      <c r="AQ18" s="62" t="s">
        <v>375</v>
      </c>
      <c r="AV18" s="43">
        <f t="shared" si="14"/>
        <v>0</v>
      </c>
      <c r="AW18" s="43">
        <f t="shared" si="15"/>
        <v>0</v>
      </c>
      <c r="AX18" s="43">
        <f t="shared" si="16"/>
        <v>0</v>
      </c>
      <c r="AY18" s="62" t="s">
        <v>281</v>
      </c>
      <c r="AZ18" s="62" t="s">
        <v>297</v>
      </c>
      <c r="BA18" s="65" t="s">
        <v>275</v>
      </c>
      <c r="BC18" s="43">
        <f t="shared" si="17"/>
        <v>0</v>
      </c>
      <c r="BD18" s="43">
        <f t="shared" si="18"/>
        <v>0</v>
      </c>
      <c r="BE18" s="43">
        <v>0</v>
      </c>
      <c r="BF18" s="43">
        <f>18</f>
        <v>18</v>
      </c>
      <c r="BH18" s="43">
        <f t="shared" si="19"/>
        <v>0</v>
      </c>
      <c r="BI18" s="43">
        <f t="shared" si="20"/>
        <v>0</v>
      </c>
      <c r="BJ18" s="43">
        <f t="shared" si="21"/>
        <v>0</v>
      </c>
      <c r="BK18" s="43"/>
      <c r="BL18" s="43">
        <v>713</v>
      </c>
      <c r="BW18" s="43">
        <v>21</v>
      </c>
    </row>
    <row r="19" spans="1:75" ht="13.5" customHeight="1">
      <c r="A19" s="53" t="s">
        <v>375</v>
      </c>
      <c r="B19" s="12" t="s">
        <v>359</v>
      </c>
      <c r="C19" s="88" t="s">
        <v>363</v>
      </c>
      <c r="D19" s="83"/>
      <c r="E19" s="12" t="s">
        <v>302</v>
      </c>
      <c r="F19" s="43">
        <v>18</v>
      </c>
      <c r="G19" s="75">
        <v>0</v>
      </c>
      <c r="H19" s="43">
        <f t="shared" si="0"/>
        <v>0</v>
      </c>
      <c r="I19" s="43">
        <f t="shared" si="1"/>
        <v>0</v>
      </c>
      <c r="J19" s="43">
        <f t="shared" si="2"/>
        <v>0</v>
      </c>
      <c r="K19" s="62" t="s">
        <v>250</v>
      </c>
      <c r="L19" s="8"/>
      <c r="Z19" s="43">
        <f t="shared" si="3"/>
        <v>0</v>
      </c>
      <c r="AB19" s="43">
        <f t="shared" si="4"/>
        <v>0</v>
      </c>
      <c r="AC19" s="43">
        <f t="shared" si="5"/>
        <v>0</v>
      </c>
      <c r="AD19" s="43">
        <f t="shared" si="6"/>
        <v>0</v>
      </c>
      <c r="AE19" s="43">
        <f t="shared" si="7"/>
        <v>0</v>
      </c>
      <c r="AF19" s="43">
        <f t="shared" si="8"/>
        <v>0</v>
      </c>
      <c r="AG19" s="43">
        <f t="shared" si="9"/>
        <v>0</v>
      </c>
      <c r="AH19" s="43">
        <f t="shared" si="10"/>
        <v>0</v>
      </c>
      <c r="AI19" s="65" t="s">
        <v>255</v>
      </c>
      <c r="AJ19" s="43">
        <f t="shared" si="11"/>
        <v>0</v>
      </c>
      <c r="AK19" s="43">
        <f t="shared" si="12"/>
        <v>0</v>
      </c>
      <c r="AL19" s="43">
        <f t="shared" si="13"/>
        <v>0</v>
      </c>
      <c r="AN19" s="43">
        <v>21</v>
      </c>
      <c r="AO19" s="43">
        <f>G19*1</f>
        <v>0</v>
      </c>
      <c r="AP19" s="43">
        <f>G19*(1-1)</f>
        <v>0</v>
      </c>
      <c r="AQ19" s="62" t="s">
        <v>375</v>
      </c>
      <c r="AV19" s="43">
        <f t="shared" si="14"/>
        <v>0</v>
      </c>
      <c r="AW19" s="43">
        <f t="shared" si="15"/>
        <v>0</v>
      </c>
      <c r="AX19" s="43">
        <f t="shared" si="16"/>
        <v>0</v>
      </c>
      <c r="AY19" s="62" t="s">
        <v>281</v>
      </c>
      <c r="AZ19" s="62" t="s">
        <v>297</v>
      </c>
      <c r="BA19" s="65" t="s">
        <v>275</v>
      </c>
      <c r="BC19" s="43">
        <f t="shared" si="17"/>
        <v>0</v>
      </c>
      <c r="BD19" s="43">
        <f t="shared" si="18"/>
        <v>0</v>
      </c>
      <c r="BE19" s="43">
        <v>0</v>
      </c>
      <c r="BF19" s="43">
        <f>19</f>
        <v>19</v>
      </c>
      <c r="BH19" s="43">
        <f t="shared" si="19"/>
        <v>0</v>
      </c>
      <c r="BI19" s="43">
        <f t="shared" si="20"/>
        <v>0</v>
      </c>
      <c r="BJ19" s="43">
        <f t="shared" si="21"/>
        <v>0</v>
      </c>
      <c r="BK19" s="43"/>
      <c r="BL19" s="43">
        <v>713</v>
      </c>
      <c r="BW19" s="43">
        <v>21</v>
      </c>
    </row>
    <row r="20" spans="1:75" ht="27" customHeight="1">
      <c r="A20" s="1" t="s">
        <v>286</v>
      </c>
      <c r="B20" s="39" t="s">
        <v>132</v>
      </c>
      <c r="C20" s="102" t="s">
        <v>345</v>
      </c>
      <c r="D20" s="103"/>
      <c r="E20" s="39" t="s">
        <v>171</v>
      </c>
      <c r="F20" s="41">
        <v>0.13471</v>
      </c>
      <c r="G20" s="75">
        <v>0</v>
      </c>
      <c r="H20" s="41">
        <f t="shared" si="0"/>
        <v>0</v>
      </c>
      <c r="I20" s="41">
        <f t="shared" si="1"/>
        <v>0</v>
      </c>
      <c r="J20" s="41">
        <f t="shared" si="2"/>
        <v>0</v>
      </c>
      <c r="K20" s="48" t="s">
        <v>250</v>
      </c>
      <c r="L20" s="8"/>
      <c r="Z20" s="43">
        <f t="shared" si="3"/>
        <v>0</v>
      </c>
      <c r="AB20" s="43">
        <f t="shared" si="4"/>
        <v>0</v>
      </c>
      <c r="AC20" s="43">
        <f t="shared" si="5"/>
        <v>0</v>
      </c>
      <c r="AD20" s="43">
        <f t="shared" si="6"/>
        <v>0</v>
      </c>
      <c r="AE20" s="43">
        <f t="shared" si="7"/>
        <v>0</v>
      </c>
      <c r="AF20" s="43">
        <f t="shared" si="8"/>
        <v>0</v>
      </c>
      <c r="AG20" s="43">
        <f t="shared" si="9"/>
        <v>0</v>
      </c>
      <c r="AH20" s="43">
        <f t="shared" si="10"/>
        <v>0</v>
      </c>
      <c r="AI20" s="65" t="s">
        <v>255</v>
      </c>
      <c r="AJ20" s="43">
        <f t="shared" si="11"/>
        <v>0</v>
      </c>
      <c r="AK20" s="43">
        <f t="shared" si="12"/>
        <v>0</v>
      </c>
      <c r="AL20" s="43">
        <f t="shared" si="13"/>
        <v>0</v>
      </c>
      <c r="AN20" s="43">
        <v>21</v>
      </c>
      <c r="AO20" s="43">
        <f>G20*0</f>
        <v>0</v>
      </c>
      <c r="AP20" s="43">
        <f>G20*(1-0)</f>
        <v>0</v>
      </c>
      <c r="AQ20" s="62" t="s">
        <v>201</v>
      </c>
      <c r="AV20" s="43">
        <f t="shared" si="14"/>
        <v>0</v>
      </c>
      <c r="AW20" s="43">
        <f t="shared" si="15"/>
        <v>0</v>
      </c>
      <c r="AX20" s="43">
        <f t="shared" si="16"/>
        <v>0</v>
      </c>
      <c r="AY20" s="62" t="s">
        <v>281</v>
      </c>
      <c r="AZ20" s="62" t="s">
        <v>297</v>
      </c>
      <c r="BA20" s="65" t="s">
        <v>275</v>
      </c>
      <c r="BC20" s="43">
        <f t="shared" si="17"/>
        <v>0</v>
      </c>
      <c r="BD20" s="43">
        <f t="shared" si="18"/>
        <v>0</v>
      </c>
      <c r="BE20" s="43">
        <v>0</v>
      </c>
      <c r="BF20" s="43">
        <f>20</f>
        <v>20</v>
      </c>
      <c r="BH20" s="43">
        <f t="shared" si="19"/>
        <v>0</v>
      </c>
      <c r="BI20" s="43">
        <f t="shared" si="20"/>
        <v>0</v>
      </c>
      <c r="BJ20" s="43">
        <f t="shared" si="21"/>
        <v>0</v>
      </c>
      <c r="BK20" s="43"/>
      <c r="BL20" s="43">
        <v>713</v>
      </c>
      <c r="BW20" s="43">
        <v>21</v>
      </c>
    </row>
    <row r="21" spans="1:47" ht="15" customHeight="1">
      <c r="A21" s="33" t="s">
        <v>255</v>
      </c>
      <c r="B21" s="10" t="s">
        <v>244</v>
      </c>
      <c r="C21" s="104" t="s">
        <v>374</v>
      </c>
      <c r="D21" s="105"/>
      <c r="E21" s="21" t="s">
        <v>344</v>
      </c>
      <c r="F21" s="21" t="s">
        <v>344</v>
      </c>
      <c r="G21" s="21" t="s">
        <v>344</v>
      </c>
      <c r="H21" s="72">
        <f>SUM(H22:H29)</f>
        <v>0</v>
      </c>
      <c r="I21" s="72">
        <f>SUM(I22:I29)</f>
        <v>0</v>
      </c>
      <c r="J21" s="72">
        <f>SUM(J22:J29)</f>
        <v>0</v>
      </c>
      <c r="K21" s="36" t="s">
        <v>255</v>
      </c>
      <c r="L21" s="8"/>
      <c r="AI21" s="65" t="s">
        <v>255</v>
      </c>
      <c r="AS21" s="50">
        <f>SUM(AJ22:AJ29)</f>
        <v>0</v>
      </c>
      <c r="AT21" s="50">
        <f>SUM(AK22:AK29)</f>
        <v>0</v>
      </c>
      <c r="AU21" s="50">
        <f>SUM(AL22:AL29)</f>
        <v>0</v>
      </c>
    </row>
    <row r="22" spans="1:75" ht="27" customHeight="1">
      <c r="A22" s="1" t="s">
        <v>146</v>
      </c>
      <c r="B22" s="39" t="s">
        <v>203</v>
      </c>
      <c r="C22" s="102" t="s">
        <v>264</v>
      </c>
      <c r="D22" s="103"/>
      <c r="E22" s="39" t="s">
        <v>99</v>
      </c>
      <c r="F22" s="41">
        <v>4</v>
      </c>
      <c r="G22" s="75">
        <v>0</v>
      </c>
      <c r="H22" s="41">
        <f aca="true" t="shared" si="22" ref="H22:H29">F22*AO22</f>
        <v>0</v>
      </c>
      <c r="I22" s="41">
        <f aca="true" t="shared" si="23" ref="I22:I29">F22*AP22</f>
        <v>0</v>
      </c>
      <c r="J22" s="41">
        <f aca="true" t="shared" si="24" ref="J22:J29">F22*G22</f>
        <v>0</v>
      </c>
      <c r="K22" s="48" t="s">
        <v>250</v>
      </c>
      <c r="L22" s="8"/>
      <c r="Z22" s="43">
        <f aca="true" t="shared" si="25" ref="Z22:Z29">IF(AQ22="5",BJ22,0)</f>
        <v>0</v>
      </c>
      <c r="AB22" s="43">
        <f aca="true" t="shared" si="26" ref="AB22:AB29">IF(AQ22="1",BH22,0)</f>
        <v>0</v>
      </c>
      <c r="AC22" s="43">
        <f aca="true" t="shared" si="27" ref="AC22:AC29">IF(AQ22="1",BI22,0)</f>
        <v>0</v>
      </c>
      <c r="AD22" s="43">
        <f aca="true" t="shared" si="28" ref="AD22:AD29">IF(AQ22="7",BH22,0)</f>
        <v>0</v>
      </c>
      <c r="AE22" s="43">
        <f aca="true" t="shared" si="29" ref="AE22:AE29">IF(AQ22="7",BI22,0)</f>
        <v>0</v>
      </c>
      <c r="AF22" s="43">
        <f aca="true" t="shared" si="30" ref="AF22:AF29">IF(AQ22="2",BH22,0)</f>
        <v>0</v>
      </c>
      <c r="AG22" s="43">
        <f aca="true" t="shared" si="31" ref="AG22:AG29">IF(AQ22="2",BI22,0)</f>
        <v>0</v>
      </c>
      <c r="AH22" s="43">
        <f aca="true" t="shared" si="32" ref="AH22:AH29">IF(AQ22="0",BJ22,0)</f>
        <v>0</v>
      </c>
      <c r="AI22" s="65" t="s">
        <v>255</v>
      </c>
      <c r="AJ22" s="43">
        <f aca="true" t="shared" si="33" ref="AJ22:AJ29">IF(AN22=0,J22,0)</f>
        <v>0</v>
      </c>
      <c r="AK22" s="43">
        <f aca="true" t="shared" si="34" ref="AK22:AK29">IF(AN22=15,J22,0)</f>
        <v>0</v>
      </c>
      <c r="AL22" s="43">
        <f aca="true" t="shared" si="35" ref="AL22:AL29">IF(AN22=21,J22,0)</f>
        <v>0</v>
      </c>
      <c r="AN22" s="43">
        <v>21</v>
      </c>
      <c r="AO22" s="43">
        <f>G22*0.0416926503340757</f>
        <v>0</v>
      </c>
      <c r="AP22" s="43">
        <f>G22*(1-0.0416926503340757)</f>
        <v>0</v>
      </c>
      <c r="AQ22" s="62" t="s">
        <v>375</v>
      </c>
      <c r="AV22" s="43">
        <f aca="true" t="shared" si="36" ref="AV22:AV29">AW22+AX22</f>
        <v>0</v>
      </c>
      <c r="AW22" s="43">
        <f aca="true" t="shared" si="37" ref="AW22:AW29">F22*AO22</f>
        <v>0</v>
      </c>
      <c r="AX22" s="43">
        <f aca="true" t="shared" si="38" ref="AX22:AX29">F22*AP22</f>
        <v>0</v>
      </c>
      <c r="AY22" s="62" t="s">
        <v>172</v>
      </c>
      <c r="AZ22" s="62" t="s">
        <v>338</v>
      </c>
      <c r="BA22" s="65" t="s">
        <v>275</v>
      </c>
      <c r="BC22" s="43">
        <f aca="true" t="shared" si="39" ref="BC22:BC29">AW22+AX22</f>
        <v>0</v>
      </c>
      <c r="BD22" s="43">
        <f aca="true" t="shared" si="40" ref="BD22:BD29">G22/(100-BE22)*100</f>
        <v>0</v>
      </c>
      <c r="BE22" s="43">
        <v>0</v>
      </c>
      <c r="BF22" s="43">
        <f>22</f>
        <v>22</v>
      </c>
      <c r="BH22" s="43">
        <f aca="true" t="shared" si="41" ref="BH22:BH29">F22*AO22</f>
        <v>0</v>
      </c>
      <c r="BI22" s="43">
        <f aca="true" t="shared" si="42" ref="BI22:BI29">F22*AP22</f>
        <v>0</v>
      </c>
      <c r="BJ22" s="43">
        <f aca="true" t="shared" si="43" ref="BJ22:BJ29">F22*G22</f>
        <v>0</v>
      </c>
      <c r="BK22" s="43"/>
      <c r="BL22" s="43">
        <v>732</v>
      </c>
      <c r="BW22" s="43">
        <v>21</v>
      </c>
    </row>
    <row r="23" spans="1:75" ht="27" customHeight="1">
      <c r="A23" s="6" t="s">
        <v>209</v>
      </c>
      <c r="B23" s="25" t="s">
        <v>31</v>
      </c>
      <c r="C23" s="102" t="s">
        <v>150</v>
      </c>
      <c r="D23" s="103"/>
      <c r="E23" s="25" t="s">
        <v>99</v>
      </c>
      <c r="F23" s="15">
        <v>4</v>
      </c>
      <c r="G23" s="75">
        <v>0</v>
      </c>
      <c r="H23" s="15">
        <f t="shared" si="22"/>
        <v>0</v>
      </c>
      <c r="I23" s="15">
        <f t="shared" si="23"/>
        <v>0</v>
      </c>
      <c r="J23" s="15">
        <f t="shared" si="24"/>
        <v>0</v>
      </c>
      <c r="K23" s="22" t="s">
        <v>250</v>
      </c>
      <c r="L23" s="8"/>
      <c r="Z23" s="43">
        <f t="shared" si="25"/>
        <v>0</v>
      </c>
      <c r="AB23" s="43">
        <f t="shared" si="26"/>
        <v>0</v>
      </c>
      <c r="AC23" s="43">
        <f t="shared" si="27"/>
        <v>0</v>
      </c>
      <c r="AD23" s="43">
        <f t="shared" si="28"/>
        <v>0</v>
      </c>
      <c r="AE23" s="43">
        <f t="shared" si="29"/>
        <v>0</v>
      </c>
      <c r="AF23" s="43">
        <f t="shared" si="30"/>
        <v>0</v>
      </c>
      <c r="AG23" s="43">
        <f t="shared" si="31"/>
        <v>0</v>
      </c>
      <c r="AH23" s="43">
        <f t="shared" si="32"/>
        <v>0</v>
      </c>
      <c r="AI23" s="65" t="s">
        <v>255</v>
      </c>
      <c r="AJ23" s="43">
        <f t="shared" si="33"/>
        <v>0</v>
      </c>
      <c r="AK23" s="43">
        <f t="shared" si="34"/>
        <v>0</v>
      </c>
      <c r="AL23" s="43">
        <f t="shared" si="35"/>
        <v>0</v>
      </c>
      <c r="AN23" s="43">
        <v>21</v>
      </c>
      <c r="AO23" s="43">
        <f>G23*0.00840840840840841</f>
        <v>0</v>
      </c>
      <c r="AP23" s="43">
        <f>G23*(1-0.00840840840840841)</f>
        <v>0</v>
      </c>
      <c r="AQ23" s="62" t="s">
        <v>375</v>
      </c>
      <c r="AV23" s="43">
        <f t="shared" si="36"/>
        <v>0</v>
      </c>
      <c r="AW23" s="43">
        <f t="shared" si="37"/>
        <v>0</v>
      </c>
      <c r="AX23" s="43">
        <f t="shared" si="38"/>
        <v>0</v>
      </c>
      <c r="AY23" s="62" t="s">
        <v>172</v>
      </c>
      <c r="AZ23" s="62" t="s">
        <v>338</v>
      </c>
      <c r="BA23" s="65" t="s">
        <v>275</v>
      </c>
      <c r="BC23" s="43">
        <f t="shared" si="39"/>
        <v>0</v>
      </c>
      <c r="BD23" s="43">
        <f t="shared" si="40"/>
        <v>0</v>
      </c>
      <c r="BE23" s="43">
        <v>0</v>
      </c>
      <c r="BF23" s="43">
        <f>23</f>
        <v>23</v>
      </c>
      <c r="BH23" s="43">
        <f t="shared" si="41"/>
        <v>0</v>
      </c>
      <c r="BI23" s="43">
        <f t="shared" si="42"/>
        <v>0</v>
      </c>
      <c r="BJ23" s="43">
        <f t="shared" si="43"/>
        <v>0</v>
      </c>
      <c r="BK23" s="43"/>
      <c r="BL23" s="43">
        <v>732</v>
      </c>
      <c r="BW23" s="43">
        <v>21</v>
      </c>
    </row>
    <row r="24" spans="1:75" ht="13.5" customHeight="1">
      <c r="A24" s="6" t="s">
        <v>303</v>
      </c>
      <c r="B24" s="25" t="s">
        <v>214</v>
      </c>
      <c r="C24" s="102" t="s">
        <v>141</v>
      </c>
      <c r="D24" s="103"/>
      <c r="E24" s="25" t="s">
        <v>129</v>
      </c>
      <c r="F24" s="15">
        <v>20</v>
      </c>
      <c r="G24" s="75">
        <v>0</v>
      </c>
      <c r="H24" s="15">
        <f t="shared" si="22"/>
        <v>0</v>
      </c>
      <c r="I24" s="15">
        <f t="shared" si="23"/>
        <v>0</v>
      </c>
      <c r="J24" s="15">
        <f t="shared" si="24"/>
        <v>0</v>
      </c>
      <c r="K24" s="22" t="s">
        <v>250</v>
      </c>
      <c r="L24" s="8"/>
      <c r="Z24" s="43">
        <f t="shared" si="25"/>
        <v>0</v>
      </c>
      <c r="AB24" s="43">
        <f t="shared" si="26"/>
        <v>0</v>
      </c>
      <c r="AC24" s="43">
        <f t="shared" si="27"/>
        <v>0</v>
      </c>
      <c r="AD24" s="43">
        <f t="shared" si="28"/>
        <v>0</v>
      </c>
      <c r="AE24" s="43">
        <f t="shared" si="29"/>
        <v>0</v>
      </c>
      <c r="AF24" s="43">
        <f t="shared" si="30"/>
        <v>0</v>
      </c>
      <c r="AG24" s="43">
        <f t="shared" si="31"/>
        <v>0</v>
      </c>
      <c r="AH24" s="43">
        <f t="shared" si="32"/>
        <v>0</v>
      </c>
      <c r="AI24" s="65" t="s">
        <v>255</v>
      </c>
      <c r="AJ24" s="43">
        <f t="shared" si="33"/>
        <v>0</v>
      </c>
      <c r="AK24" s="43">
        <f t="shared" si="34"/>
        <v>0</v>
      </c>
      <c r="AL24" s="43">
        <f t="shared" si="35"/>
        <v>0</v>
      </c>
      <c r="AN24" s="43">
        <v>21</v>
      </c>
      <c r="AO24" s="43">
        <f>G24*0.801546496093276</f>
        <v>0</v>
      </c>
      <c r="AP24" s="43">
        <f>G24*(1-0.801546496093276)</f>
        <v>0</v>
      </c>
      <c r="AQ24" s="62" t="s">
        <v>375</v>
      </c>
      <c r="AV24" s="43">
        <f t="shared" si="36"/>
        <v>0</v>
      </c>
      <c r="AW24" s="43">
        <f t="shared" si="37"/>
        <v>0</v>
      </c>
      <c r="AX24" s="43">
        <f t="shared" si="38"/>
        <v>0</v>
      </c>
      <c r="AY24" s="62" t="s">
        <v>172</v>
      </c>
      <c r="AZ24" s="62" t="s">
        <v>338</v>
      </c>
      <c r="BA24" s="65" t="s">
        <v>275</v>
      </c>
      <c r="BC24" s="43">
        <f t="shared" si="39"/>
        <v>0</v>
      </c>
      <c r="BD24" s="43">
        <f t="shared" si="40"/>
        <v>0</v>
      </c>
      <c r="BE24" s="43">
        <v>0</v>
      </c>
      <c r="BF24" s="43">
        <f>24</f>
        <v>24</v>
      </c>
      <c r="BH24" s="43">
        <f t="shared" si="41"/>
        <v>0</v>
      </c>
      <c r="BI24" s="43">
        <f t="shared" si="42"/>
        <v>0</v>
      </c>
      <c r="BJ24" s="43">
        <f t="shared" si="43"/>
        <v>0</v>
      </c>
      <c r="BK24" s="43"/>
      <c r="BL24" s="43">
        <v>732</v>
      </c>
      <c r="BW24" s="43">
        <v>21</v>
      </c>
    </row>
    <row r="25" spans="1:75" ht="27" customHeight="1">
      <c r="A25" s="6" t="s">
        <v>268</v>
      </c>
      <c r="B25" s="25" t="s">
        <v>318</v>
      </c>
      <c r="C25" s="102" t="s">
        <v>9</v>
      </c>
      <c r="D25" s="103"/>
      <c r="E25" s="25" t="s">
        <v>129</v>
      </c>
      <c r="F25" s="15">
        <v>8</v>
      </c>
      <c r="G25" s="75">
        <v>0</v>
      </c>
      <c r="H25" s="15">
        <f t="shared" si="22"/>
        <v>0</v>
      </c>
      <c r="I25" s="15">
        <f t="shared" si="23"/>
        <v>0</v>
      </c>
      <c r="J25" s="15">
        <f t="shared" si="24"/>
        <v>0</v>
      </c>
      <c r="K25" s="22" t="s">
        <v>250</v>
      </c>
      <c r="L25" s="8"/>
      <c r="Z25" s="43">
        <f t="shared" si="25"/>
        <v>0</v>
      </c>
      <c r="AB25" s="43">
        <f t="shared" si="26"/>
        <v>0</v>
      </c>
      <c r="AC25" s="43">
        <f t="shared" si="27"/>
        <v>0</v>
      </c>
      <c r="AD25" s="43">
        <f t="shared" si="28"/>
        <v>0</v>
      </c>
      <c r="AE25" s="43">
        <f t="shared" si="29"/>
        <v>0</v>
      </c>
      <c r="AF25" s="43">
        <f t="shared" si="30"/>
        <v>0</v>
      </c>
      <c r="AG25" s="43">
        <f t="shared" si="31"/>
        <v>0</v>
      </c>
      <c r="AH25" s="43">
        <f t="shared" si="32"/>
        <v>0</v>
      </c>
      <c r="AI25" s="65" t="s">
        <v>255</v>
      </c>
      <c r="AJ25" s="43">
        <f t="shared" si="33"/>
        <v>0</v>
      </c>
      <c r="AK25" s="43">
        <f t="shared" si="34"/>
        <v>0</v>
      </c>
      <c r="AL25" s="43">
        <f t="shared" si="35"/>
        <v>0</v>
      </c>
      <c r="AN25" s="43">
        <v>21</v>
      </c>
      <c r="AO25" s="43">
        <f>G25*0.344310356582805</f>
        <v>0</v>
      </c>
      <c r="AP25" s="43">
        <f>G25*(1-0.344310356582805)</f>
        <v>0</v>
      </c>
      <c r="AQ25" s="62" t="s">
        <v>375</v>
      </c>
      <c r="AV25" s="43">
        <f t="shared" si="36"/>
        <v>0</v>
      </c>
      <c r="AW25" s="43">
        <f t="shared" si="37"/>
        <v>0</v>
      </c>
      <c r="AX25" s="43">
        <f t="shared" si="38"/>
        <v>0</v>
      </c>
      <c r="AY25" s="62" t="s">
        <v>172</v>
      </c>
      <c r="AZ25" s="62" t="s">
        <v>338</v>
      </c>
      <c r="BA25" s="65" t="s">
        <v>275</v>
      </c>
      <c r="BC25" s="43">
        <f t="shared" si="39"/>
        <v>0</v>
      </c>
      <c r="BD25" s="43">
        <f t="shared" si="40"/>
        <v>0</v>
      </c>
      <c r="BE25" s="43">
        <v>0</v>
      </c>
      <c r="BF25" s="43">
        <f>25</f>
        <v>25</v>
      </c>
      <c r="BH25" s="43">
        <f t="shared" si="41"/>
        <v>0</v>
      </c>
      <c r="BI25" s="43">
        <f t="shared" si="42"/>
        <v>0</v>
      </c>
      <c r="BJ25" s="43">
        <f t="shared" si="43"/>
        <v>0</v>
      </c>
      <c r="BK25" s="43"/>
      <c r="BL25" s="43">
        <v>732</v>
      </c>
      <c r="BW25" s="43">
        <v>21</v>
      </c>
    </row>
    <row r="26" spans="1:75" ht="27" customHeight="1">
      <c r="A26" s="6" t="s">
        <v>112</v>
      </c>
      <c r="B26" s="25" t="s">
        <v>317</v>
      </c>
      <c r="C26" s="102" t="s">
        <v>64</v>
      </c>
      <c r="D26" s="103"/>
      <c r="E26" s="25" t="s">
        <v>260</v>
      </c>
      <c r="F26" s="15">
        <v>1</v>
      </c>
      <c r="G26" s="75">
        <v>0</v>
      </c>
      <c r="H26" s="15">
        <f t="shared" si="22"/>
        <v>0</v>
      </c>
      <c r="I26" s="15">
        <f t="shared" si="23"/>
        <v>0</v>
      </c>
      <c r="J26" s="15">
        <f t="shared" si="24"/>
        <v>0</v>
      </c>
      <c r="K26" s="22" t="s">
        <v>250</v>
      </c>
      <c r="L26" s="8"/>
      <c r="Z26" s="43">
        <f t="shared" si="25"/>
        <v>0</v>
      </c>
      <c r="AB26" s="43">
        <f t="shared" si="26"/>
        <v>0</v>
      </c>
      <c r="AC26" s="43">
        <f t="shared" si="27"/>
        <v>0</v>
      </c>
      <c r="AD26" s="43">
        <f t="shared" si="28"/>
        <v>0</v>
      </c>
      <c r="AE26" s="43">
        <f t="shared" si="29"/>
        <v>0</v>
      </c>
      <c r="AF26" s="43">
        <f t="shared" si="30"/>
        <v>0</v>
      </c>
      <c r="AG26" s="43">
        <f t="shared" si="31"/>
        <v>0</v>
      </c>
      <c r="AH26" s="43">
        <f t="shared" si="32"/>
        <v>0</v>
      </c>
      <c r="AI26" s="65" t="s">
        <v>255</v>
      </c>
      <c r="AJ26" s="43">
        <f t="shared" si="33"/>
        <v>0</v>
      </c>
      <c r="AK26" s="43">
        <f t="shared" si="34"/>
        <v>0</v>
      </c>
      <c r="AL26" s="43">
        <f t="shared" si="35"/>
        <v>0</v>
      </c>
      <c r="AN26" s="43">
        <v>21</v>
      </c>
      <c r="AO26" s="43">
        <f>G26*1</f>
        <v>0</v>
      </c>
      <c r="AP26" s="43">
        <f>G26*(1-1)</f>
        <v>0</v>
      </c>
      <c r="AQ26" s="62" t="s">
        <v>375</v>
      </c>
      <c r="AV26" s="43">
        <f t="shared" si="36"/>
        <v>0</v>
      </c>
      <c r="AW26" s="43">
        <f t="shared" si="37"/>
        <v>0</v>
      </c>
      <c r="AX26" s="43">
        <f t="shared" si="38"/>
        <v>0</v>
      </c>
      <c r="AY26" s="62" t="s">
        <v>172</v>
      </c>
      <c r="AZ26" s="62" t="s">
        <v>338</v>
      </c>
      <c r="BA26" s="65" t="s">
        <v>275</v>
      </c>
      <c r="BC26" s="43">
        <f t="shared" si="39"/>
        <v>0</v>
      </c>
      <c r="BD26" s="43">
        <f t="shared" si="40"/>
        <v>0</v>
      </c>
      <c r="BE26" s="43">
        <v>0</v>
      </c>
      <c r="BF26" s="43">
        <f>26</f>
        <v>26</v>
      </c>
      <c r="BH26" s="43">
        <f t="shared" si="41"/>
        <v>0</v>
      </c>
      <c r="BI26" s="43">
        <f t="shared" si="42"/>
        <v>0</v>
      </c>
      <c r="BJ26" s="43">
        <f t="shared" si="43"/>
        <v>0</v>
      </c>
      <c r="BK26" s="43"/>
      <c r="BL26" s="43">
        <v>732</v>
      </c>
      <c r="BW26" s="43">
        <v>21</v>
      </c>
    </row>
    <row r="27" spans="1:75" ht="27" customHeight="1">
      <c r="A27" s="53" t="s">
        <v>213</v>
      </c>
      <c r="B27" s="12" t="s">
        <v>412</v>
      </c>
      <c r="C27" s="88" t="s">
        <v>416</v>
      </c>
      <c r="D27" s="83"/>
      <c r="E27" s="12" t="s">
        <v>260</v>
      </c>
      <c r="F27" s="43">
        <v>5</v>
      </c>
      <c r="G27" s="75">
        <v>0</v>
      </c>
      <c r="H27" s="43">
        <f t="shared" si="22"/>
        <v>0</v>
      </c>
      <c r="I27" s="43">
        <f t="shared" si="23"/>
        <v>0</v>
      </c>
      <c r="J27" s="43">
        <f t="shared" si="24"/>
        <v>0</v>
      </c>
      <c r="K27" s="62" t="s">
        <v>250</v>
      </c>
      <c r="L27" s="8"/>
      <c r="Z27" s="43">
        <f t="shared" si="25"/>
        <v>0</v>
      </c>
      <c r="AB27" s="43">
        <f t="shared" si="26"/>
        <v>0</v>
      </c>
      <c r="AC27" s="43">
        <f t="shared" si="27"/>
        <v>0</v>
      </c>
      <c r="AD27" s="43">
        <f t="shared" si="28"/>
        <v>0</v>
      </c>
      <c r="AE27" s="43">
        <f t="shared" si="29"/>
        <v>0</v>
      </c>
      <c r="AF27" s="43">
        <f t="shared" si="30"/>
        <v>0</v>
      </c>
      <c r="AG27" s="43">
        <f t="shared" si="31"/>
        <v>0</v>
      </c>
      <c r="AH27" s="43">
        <f t="shared" si="32"/>
        <v>0</v>
      </c>
      <c r="AI27" s="65" t="s">
        <v>255</v>
      </c>
      <c r="AJ27" s="43">
        <f t="shared" si="33"/>
        <v>0</v>
      </c>
      <c r="AK27" s="43">
        <f t="shared" si="34"/>
        <v>0</v>
      </c>
      <c r="AL27" s="43">
        <f t="shared" si="35"/>
        <v>0</v>
      </c>
      <c r="AN27" s="43">
        <v>21</v>
      </c>
      <c r="AO27" s="43">
        <f>G27*1</f>
        <v>0</v>
      </c>
      <c r="AP27" s="43">
        <f>G27*(1-1)</f>
        <v>0</v>
      </c>
      <c r="AQ27" s="62" t="s">
        <v>375</v>
      </c>
      <c r="AV27" s="43">
        <f t="shared" si="36"/>
        <v>0</v>
      </c>
      <c r="AW27" s="43">
        <f t="shared" si="37"/>
        <v>0</v>
      </c>
      <c r="AX27" s="43">
        <f t="shared" si="38"/>
        <v>0</v>
      </c>
      <c r="AY27" s="62" t="s">
        <v>172</v>
      </c>
      <c r="AZ27" s="62" t="s">
        <v>338</v>
      </c>
      <c r="BA27" s="65" t="s">
        <v>275</v>
      </c>
      <c r="BC27" s="43">
        <f t="shared" si="39"/>
        <v>0</v>
      </c>
      <c r="BD27" s="43">
        <f t="shared" si="40"/>
        <v>0</v>
      </c>
      <c r="BE27" s="43">
        <v>0</v>
      </c>
      <c r="BF27" s="43">
        <f>27</f>
        <v>27</v>
      </c>
      <c r="BH27" s="43">
        <f t="shared" si="41"/>
        <v>0</v>
      </c>
      <c r="BI27" s="43">
        <f t="shared" si="42"/>
        <v>0</v>
      </c>
      <c r="BJ27" s="43">
        <f t="shared" si="43"/>
        <v>0</v>
      </c>
      <c r="BK27" s="43"/>
      <c r="BL27" s="43">
        <v>732</v>
      </c>
      <c r="BW27" s="43">
        <v>21</v>
      </c>
    </row>
    <row r="28" spans="1:75" ht="27" customHeight="1">
      <c r="A28" s="53" t="s">
        <v>149</v>
      </c>
      <c r="B28" s="12" t="s">
        <v>397</v>
      </c>
      <c r="C28" s="88" t="s">
        <v>1</v>
      </c>
      <c r="D28" s="83"/>
      <c r="E28" s="12" t="s">
        <v>260</v>
      </c>
      <c r="F28" s="43">
        <v>1</v>
      </c>
      <c r="G28" s="75">
        <v>0</v>
      </c>
      <c r="H28" s="43">
        <f t="shared" si="22"/>
        <v>0</v>
      </c>
      <c r="I28" s="43">
        <f t="shared" si="23"/>
        <v>0</v>
      </c>
      <c r="J28" s="43">
        <f t="shared" si="24"/>
        <v>0</v>
      </c>
      <c r="K28" s="62" t="s">
        <v>250</v>
      </c>
      <c r="L28" s="8"/>
      <c r="Z28" s="43">
        <f t="shared" si="25"/>
        <v>0</v>
      </c>
      <c r="AB28" s="43">
        <f t="shared" si="26"/>
        <v>0</v>
      </c>
      <c r="AC28" s="43">
        <f t="shared" si="27"/>
        <v>0</v>
      </c>
      <c r="AD28" s="43">
        <f t="shared" si="28"/>
        <v>0</v>
      </c>
      <c r="AE28" s="43">
        <f t="shared" si="29"/>
        <v>0</v>
      </c>
      <c r="AF28" s="43">
        <f t="shared" si="30"/>
        <v>0</v>
      </c>
      <c r="AG28" s="43">
        <f t="shared" si="31"/>
        <v>0</v>
      </c>
      <c r="AH28" s="43">
        <f t="shared" si="32"/>
        <v>0</v>
      </c>
      <c r="AI28" s="65" t="s">
        <v>255</v>
      </c>
      <c r="AJ28" s="43">
        <f t="shared" si="33"/>
        <v>0</v>
      </c>
      <c r="AK28" s="43">
        <f t="shared" si="34"/>
        <v>0</v>
      </c>
      <c r="AL28" s="43">
        <f t="shared" si="35"/>
        <v>0</v>
      </c>
      <c r="AN28" s="43">
        <v>21</v>
      </c>
      <c r="AO28" s="43">
        <f>G28*1</f>
        <v>0</v>
      </c>
      <c r="AP28" s="43">
        <f>G28*(1-1)</f>
        <v>0</v>
      </c>
      <c r="AQ28" s="62" t="s">
        <v>375</v>
      </c>
      <c r="AV28" s="43">
        <f t="shared" si="36"/>
        <v>0</v>
      </c>
      <c r="AW28" s="43">
        <f t="shared" si="37"/>
        <v>0</v>
      </c>
      <c r="AX28" s="43">
        <f t="shared" si="38"/>
        <v>0</v>
      </c>
      <c r="AY28" s="62" t="s">
        <v>172</v>
      </c>
      <c r="AZ28" s="62" t="s">
        <v>338</v>
      </c>
      <c r="BA28" s="65" t="s">
        <v>275</v>
      </c>
      <c r="BC28" s="43">
        <f t="shared" si="39"/>
        <v>0</v>
      </c>
      <c r="BD28" s="43">
        <f t="shared" si="40"/>
        <v>0</v>
      </c>
      <c r="BE28" s="43">
        <v>0</v>
      </c>
      <c r="BF28" s="43">
        <f>28</f>
        <v>28</v>
      </c>
      <c r="BH28" s="43">
        <f t="shared" si="41"/>
        <v>0</v>
      </c>
      <c r="BI28" s="43">
        <f t="shared" si="42"/>
        <v>0</v>
      </c>
      <c r="BJ28" s="43">
        <f t="shared" si="43"/>
        <v>0</v>
      </c>
      <c r="BK28" s="43"/>
      <c r="BL28" s="43">
        <v>732</v>
      </c>
      <c r="BW28" s="43">
        <v>21</v>
      </c>
    </row>
    <row r="29" spans="1:75" ht="27" customHeight="1">
      <c r="A29" s="53" t="s">
        <v>40</v>
      </c>
      <c r="B29" s="12" t="s">
        <v>185</v>
      </c>
      <c r="C29" s="88" t="s">
        <v>284</v>
      </c>
      <c r="D29" s="83"/>
      <c r="E29" s="12" t="s">
        <v>260</v>
      </c>
      <c r="F29" s="43">
        <v>1</v>
      </c>
      <c r="G29" s="75">
        <v>0</v>
      </c>
      <c r="H29" s="43">
        <f t="shared" si="22"/>
        <v>0</v>
      </c>
      <c r="I29" s="43">
        <f t="shared" si="23"/>
        <v>0</v>
      </c>
      <c r="J29" s="43">
        <f t="shared" si="24"/>
        <v>0</v>
      </c>
      <c r="K29" s="62" t="s">
        <v>250</v>
      </c>
      <c r="L29" s="8"/>
      <c r="Z29" s="43">
        <f t="shared" si="25"/>
        <v>0</v>
      </c>
      <c r="AB29" s="43">
        <f t="shared" si="26"/>
        <v>0</v>
      </c>
      <c r="AC29" s="43">
        <f t="shared" si="27"/>
        <v>0</v>
      </c>
      <c r="AD29" s="43">
        <f t="shared" si="28"/>
        <v>0</v>
      </c>
      <c r="AE29" s="43">
        <f t="shared" si="29"/>
        <v>0</v>
      </c>
      <c r="AF29" s="43">
        <f t="shared" si="30"/>
        <v>0</v>
      </c>
      <c r="AG29" s="43">
        <f t="shared" si="31"/>
        <v>0</v>
      </c>
      <c r="AH29" s="43">
        <f t="shared" si="32"/>
        <v>0</v>
      </c>
      <c r="AI29" s="65" t="s">
        <v>255</v>
      </c>
      <c r="AJ29" s="43">
        <f t="shared" si="33"/>
        <v>0</v>
      </c>
      <c r="AK29" s="43">
        <f t="shared" si="34"/>
        <v>0</v>
      </c>
      <c r="AL29" s="43">
        <f t="shared" si="35"/>
        <v>0</v>
      </c>
      <c r="AN29" s="43">
        <v>21</v>
      </c>
      <c r="AO29" s="43">
        <f>G29*1</f>
        <v>0</v>
      </c>
      <c r="AP29" s="43">
        <f>G29*(1-1)</f>
        <v>0</v>
      </c>
      <c r="AQ29" s="62" t="s">
        <v>375</v>
      </c>
      <c r="AV29" s="43">
        <f t="shared" si="36"/>
        <v>0</v>
      </c>
      <c r="AW29" s="43">
        <f t="shared" si="37"/>
        <v>0</v>
      </c>
      <c r="AX29" s="43">
        <f t="shared" si="38"/>
        <v>0</v>
      </c>
      <c r="AY29" s="62" t="s">
        <v>172</v>
      </c>
      <c r="AZ29" s="62" t="s">
        <v>338</v>
      </c>
      <c r="BA29" s="65" t="s">
        <v>275</v>
      </c>
      <c r="BC29" s="43">
        <f t="shared" si="39"/>
        <v>0</v>
      </c>
      <c r="BD29" s="43">
        <f t="shared" si="40"/>
        <v>0</v>
      </c>
      <c r="BE29" s="43">
        <v>0</v>
      </c>
      <c r="BF29" s="43">
        <f>29</f>
        <v>29</v>
      </c>
      <c r="BH29" s="43">
        <f t="shared" si="41"/>
        <v>0</v>
      </c>
      <c r="BI29" s="43">
        <f t="shared" si="42"/>
        <v>0</v>
      </c>
      <c r="BJ29" s="43">
        <f t="shared" si="43"/>
        <v>0</v>
      </c>
      <c r="BK29" s="43"/>
      <c r="BL29" s="43">
        <v>732</v>
      </c>
      <c r="BW29" s="43">
        <v>21</v>
      </c>
    </row>
    <row r="30" spans="1:47" ht="15" customHeight="1">
      <c r="A30" s="60" t="s">
        <v>255</v>
      </c>
      <c r="B30" s="13" t="s">
        <v>383</v>
      </c>
      <c r="C30" s="106" t="s">
        <v>305</v>
      </c>
      <c r="D30" s="107"/>
      <c r="E30" s="19" t="s">
        <v>344</v>
      </c>
      <c r="F30" s="19" t="s">
        <v>344</v>
      </c>
      <c r="G30" s="19" t="s">
        <v>344</v>
      </c>
      <c r="H30" s="34">
        <f>SUM(H31:H53)</f>
        <v>0</v>
      </c>
      <c r="I30" s="34">
        <f>SUM(I31:I53)</f>
        <v>0</v>
      </c>
      <c r="J30" s="34">
        <f>SUM(J31:J53)</f>
        <v>0</v>
      </c>
      <c r="K30" s="16" t="s">
        <v>255</v>
      </c>
      <c r="L30" s="8"/>
      <c r="AI30" s="65" t="s">
        <v>255</v>
      </c>
      <c r="AS30" s="50">
        <f>SUM(AJ31:AJ53)</f>
        <v>0</v>
      </c>
      <c r="AT30" s="50">
        <f>SUM(AK31:AK53)</f>
        <v>0</v>
      </c>
      <c r="AU30" s="50">
        <f>SUM(AL31:AL53)</f>
        <v>0</v>
      </c>
    </row>
    <row r="31" spans="1:75" ht="27" customHeight="1">
      <c r="A31" s="6" t="s">
        <v>257</v>
      </c>
      <c r="B31" s="25" t="s">
        <v>68</v>
      </c>
      <c r="C31" s="102" t="s">
        <v>28</v>
      </c>
      <c r="D31" s="103"/>
      <c r="E31" s="25" t="s">
        <v>302</v>
      </c>
      <c r="F31" s="15">
        <v>6</v>
      </c>
      <c r="G31" s="75">
        <v>0</v>
      </c>
      <c r="H31" s="15">
        <f aca="true" t="shared" si="44" ref="H31:H53">F31*AO31</f>
        <v>0</v>
      </c>
      <c r="I31" s="15">
        <f aca="true" t="shared" si="45" ref="I31:I53">F31*AP31</f>
        <v>0</v>
      </c>
      <c r="J31" s="15">
        <f aca="true" t="shared" si="46" ref="J31:J53">F31*G31</f>
        <v>0</v>
      </c>
      <c r="K31" s="22" t="s">
        <v>250</v>
      </c>
      <c r="L31" s="8"/>
      <c r="Z31" s="43">
        <f aca="true" t="shared" si="47" ref="Z31:Z53">IF(AQ31="5",BJ31,0)</f>
        <v>0</v>
      </c>
      <c r="AB31" s="43">
        <f aca="true" t="shared" si="48" ref="AB31:AB53">IF(AQ31="1",BH31,0)</f>
        <v>0</v>
      </c>
      <c r="AC31" s="43">
        <f aca="true" t="shared" si="49" ref="AC31:AC53">IF(AQ31="1",BI31,0)</f>
        <v>0</v>
      </c>
      <c r="AD31" s="43">
        <f aca="true" t="shared" si="50" ref="AD31:AD53">IF(AQ31="7",BH31,0)</f>
        <v>0</v>
      </c>
      <c r="AE31" s="43">
        <f aca="true" t="shared" si="51" ref="AE31:AE53">IF(AQ31="7",BI31,0)</f>
        <v>0</v>
      </c>
      <c r="AF31" s="43">
        <f aca="true" t="shared" si="52" ref="AF31:AF53">IF(AQ31="2",BH31,0)</f>
        <v>0</v>
      </c>
      <c r="AG31" s="43">
        <f aca="true" t="shared" si="53" ref="AG31:AG53">IF(AQ31="2",BI31,0)</f>
        <v>0</v>
      </c>
      <c r="AH31" s="43">
        <f aca="true" t="shared" si="54" ref="AH31:AH53">IF(AQ31="0",BJ31,0)</f>
        <v>0</v>
      </c>
      <c r="AI31" s="65" t="s">
        <v>255</v>
      </c>
      <c r="AJ31" s="43">
        <f aca="true" t="shared" si="55" ref="AJ31:AJ53">IF(AN31=0,J31,0)</f>
        <v>0</v>
      </c>
      <c r="AK31" s="43">
        <f aca="true" t="shared" si="56" ref="AK31:AK53">IF(AN31=15,J31,0)</f>
        <v>0</v>
      </c>
      <c r="AL31" s="43">
        <f aca="true" t="shared" si="57" ref="AL31:AL53">IF(AN31=21,J31,0)</f>
        <v>0</v>
      </c>
      <c r="AN31" s="43">
        <v>21</v>
      </c>
      <c r="AO31" s="43">
        <f>G31*0.162776025236593</f>
        <v>0</v>
      </c>
      <c r="AP31" s="43">
        <f>G31*(1-0.162776025236593)</f>
        <v>0</v>
      </c>
      <c r="AQ31" s="62" t="s">
        <v>375</v>
      </c>
      <c r="AV31" s="43">
        <f aca="true" t="shared" si="58" ref="AV31:AV53">AW31+AX31</f>
        <v>0</v>
      </c>
      <c r="AW31" s="43">
        <f aca="true" t="shared" si="59" ref="AW31:AW53">F31*AO31</f>
        <v>0</v>
      </c>
      <c r="AX31" s="43">
        <f aca="true" t="shared" si="60" ref="AX31:AX53">F31*AP31</f>
        <v>0</v>
      </c>
      <c r="AY31" s="62" t="s">
        <v>45</v>
      </c>
      <c r="AZ31" s="62" t="s">
        <v>338</v>
      </c>
      <c r="BA31" s="65" t="s">
        <v>275</v>
      </c>
      <c r="BC31" s="43">
        <f aca="true" t="shared" si="61" ref="BC31:BC53">AW31+AX31</f>
        <v>0</v>
      </c>
      <c r="BD31" s="43">
        <f aca="true" t="shared" si="62" ref="BD31:BD53">G31/(100-BE31)*100</f>
        <v>0</v>
      </c>
      <c r="BE31" s="43">
        <v>0</v>
      </c>
      <c r="BF31" s="43">
        <f>31</f>
        <v>31</v>
      </c>
      <c r="BH31" s="43">
        <f aca="true" t="shared" si="63" ref="BH31:BH53">F31*AO31</f>
        <v>0</v>
      </c>
      <c r="BI31" s="43">
        <f aca="true" t="shared" si="64" ref="BI31:BI53">F31*AP31</f>
        <v>0</v>
      </c>
      <c r="BJ31" s="43">
        <f aca="true" t="shared" si="65" ref="BJ31:BJ53">F31*G31</f>
        <v>0</v>
      </c>
      <c r="BK31" s="43"/>
      <c r="BL31" s="43">
        <v>733</v>
      </c>
      <c r="BW31" s="43">
        <v>21</v>
      </c>
    </row>
    <row r="32" spans="1:75" ht="27" customHeight="1">
      <c r="A32" s="6" t="s">
        <v>291</v>
      </c>
      <c r="B32" s="25" t="s">
        <v>56</v>
      </c>
      <c r="C32" s="102" t="s">
        <v>249</v>
      </c>
      <c r="D32" s="103"/>
      <c r="E32" s="25" t="s">
        <v>302</v>
      </c>
      <c r="F32" s="15">
        <v>12</v>
      </c>
      <c r="G32" s="75">
        <v>0</v>
      </c>
      <c r="H32" s="15">
        <f t="shared" si="44"/>
        <v>0</v>
      </c>
      <c r="I32" s="15">
        <f t="shared" si="45"/>
        <v>0</v>
      </c>
      <c r="J32" s="15">
        <f t="shared" si="46"/>
        <v>0</v>
      </c>
      <c r="K32" s="22" t="s">
        <v>250</v>
      </c>
      <c r="L32" s="8"/>
      <c r="Z32" s="43">
        <f t="shared" si="47"/>
        <v>0</v>
      </c>
      <c r="AB32" s="43">
        <f t="shared" si="48"/>
        <v>0</v>
      </c>
      <c r="AC32" s="43">
        <f t="shared" si="49"/>
        <v>0</v>
      </c>
      <c r="AD32" s="43">
        <f t="shared" si="50"/>
        <v>0</v>
      </c>
      <c r="AE32" s="43">
        <f t="shared" si="51"/>
        <v>0</v>
      </c>
      <c r="AF32" s="43">
        <f t="shared" si="52"/>
        <v>0</v>
      </c>
      <c r="AG32" s="43">
        <f t="shared" si="53"/>
        <v>0</v>
      </c>
      <c r="AH32" s="43">
        <f t="shared" si="54"/>
        <v>0</v>
      </c>
      <c r="AI32" s="65" t="s">
        <v>255</v>
      </c>
      <c r="AJ32" s="43">
        <f t="shared" si="55"/>
        <v>0</v>
      </c>
      <c r="AK32" s="43">
        <f t="shared" si="56"/>
        <v>0</v>
      </c>
      <c r="AL32" s="43">
        <f t="shared" si="57"/>
        <v>0</v>
      </c>
      <c r="AN32" s="43">
        <v>21</v>
      </c>
      <c r="AO32" s="43">
        <f>G32*0.213740458015267</f>
        <v>0</v>
      </c>
      <c r="AP32" s="43">
        <f>G32*(1-0.213740458015267)</f>
        <v>0</v>
      </c>
      <c r="AQ32" s="62" t="s">
        <v>375</v>
      </c>
      <c r="AV32" s="43">
        <f t="shared" si="58"/>
        <v>0</v>
      </c>
      <c r="AW32" s="43">
        <f t="shared" si="59"/>
        <v>0</v>
      </c>
      <c r="AX32" s="43">
        <f t="shared" si="60"/>
        <v>0</v>
      </c>
      <c r="AY32" s="62" t="s">
        <v>45</v>
      </c>
      <c r="AZ32" s="62" t="s">
        <v>338</v>
      </c>
      <c r="BA32" s="65" t="s">
        <v>275</v>
      </c>
      <c r="BC32" s="43">
        <f t="shared" si="61"/>
        <v>0</v>
      </c>
      <c r="BD32" s="43">
        <f t="shared" si="62"/>
        <v>0</v>
      </c>
      <c r="BE32" s="43">
        <v>0</v>
      </c>
      <c r="BF32" s="43">
        <f>32</f>
        <v>32</v>
      </c>
      <c r="BH32" s="43">
        <f t="shared" si="63"/>
        <v>0</v>
      </c>
      <c r="BI32" s="43">
        <f t="shared" si="64"/>
        <v>0</v>
      </c>
      <c r="BJ32" s="43">
        <f t="shared" si="65"/>
        <v>0</v>
      </c>
      <c r="BK32" s="43"/>
      <c r="BL32" s="43">
        <v>733</v>
      </c>
      <c r="BW32" s="43">
        <v>21</v>
      </c>
    </row>
    <row r="33" spans="1:75" ht="27" customHeight="1">
      <c r="A33" s="6" t="s">
        <v>227</v>
      </c>
      <c r="B33" s="25" t="s">
        <v>335</v>
      </c>
      <c r="C33" s="102" t="s">
        <v>211</v>
      </c>
      <c r="D33" s="103"/>
      <c r="E33" s="25" t="s">
        <v>302</v>
      </c>
      <c r="F33" s="15">
        <v>12</v>
      </c>
      <c r="G33" s="75">
        <v>0</v>
      </c>
      <c r="H33" s="15">
        <f t="shared" si="44"/>
        <v>0</v>
      </c>
      <c r="I33" s="15">
        <f t="shared" si="45"/>
        <v>0</v>
      </c>
      <c r="J33" s="15">
        <f t="shared" si="46"/>
        <v>0</v>
      </c>
      <c r="K33" s="22" t="s">
        <v>250</v>
      </c>
      <c r="L33" s="8"/>
      <c r="Z33" s="43">
        <f t="shared" si="47"/>
        <v>0</v>
      </c>
      <c r="AB33" s="43">
        <f t="shared" si="48"/>
        <v>0</v>
      </c>
      <c r="AC33" s="43">
        <f t="shared" si="49"/>
        <v>0</v>
      </c>
      <c r="AD33" s="43">
        <f t="shared" si="50"/>
        <v>0</v>
      </c>
      <c r="AE33" s="43">
        <f t="shared" si="51"/>
        <v>0</v>
      </c>
      <c r="AF33" s="43">
        <f t="shared" si="52"/>
        <v>0</v>
      </c>
      <c r="AG33" s="43">
        <f t="shared" si="53"/>
        <v>0</v>
      </c>
      <c r="AH33" s="43">
        <f t="shared" si="54"/>
        <v>0</v>
      </c>
      <c r="AI33" s="65" t="s">
        <v>255</v>
      </c>
      <c r="AJ33" s="43">
        <f t="shared" si="55"/>
        <v>0</v>
      </c>
      <c r="AK33" s="43">
        <f t="shared" si="56"/>
        <v>0</v>
      </c>
      <c r="AL33" s="43">
        <f t="shared" si="57"/>
        <v>0</v>
      </c>
      <c r="AN33" s="43">
        <v>21</v>
      </c>
      <c r="AO33" s="43">
        <f>G33*0.152845528455285</f>
        <v>0</v>
      </c>
      <c r="AP33" s="43">
        <f>G33*(1-0.152845528455285)</f>
        <v>0</v>
      </c>
      <c r="AQ33" s="62" t="s">
        <v>375</v>
      </c>
      <c r="AV33" s="43">
        <f t="shared" si="58"/>
        <v>0</v>
      </c>
      <c r="AW33" s="43">
        <f t="shared" si="59"/>
        <v>0</v>
      </c>
      <c r="AX33" s="43">
        <f t="shared" si="60"/>
        <v>0</v>
      </c>
      <c r="AY33" s="62" t="s">
        <v>45</v>
      </c>
      <c r="AZ33" s="62" t="s">
        <v>338</v>
      </c>
      <c r="BA33" s="65" t="s">
        <v>275</v>
      </c>
      <c r="BC33" s="43">
        <f t="shared" si="61"/>
        <v>0</v>
      </c>
      <c r="BD33" s="43">
        <f t="shared" si="62"/>
        <v>0</v>
      </c>
      <c r="BE33" s="43">
        <v>0</v>
      </c>
      <c r="BF33" s="43">
        <f>33</f>
        <v>33</v>
      </c>
      <c r="BH33" s="43">
        <f t="shared" si="63"/>
        <v>0</v>
      </c>
      <c r="BI33" s="43">
        <f t="shared" si="64"/>
        <v>0</v>
      </c>
      <c r="BJ33" s="43">
        <f t="shared" si="65"/>
        <v>0</v>
      </c>
      <c r="BK33" s="43"/>
      <c r="BL33" s="43">
        <v>733</v>
      </c>
      <c r="BW33" s="43">
        <v>21</v>
      </c>
    </row>
    <row r="34" spans="1:75" ht="27" customHeight="1">
      <c r="A34" s="6" t="s">
        <v>20</v>
      </c>
      <c r="B34" s="25" t="s">
        <v>142</v>
      </c>
      <c r="C34" s="102" t="s">
        <v>189</v>
      </c>
      <c r="D34" s="103"/>
      <c r="E34" s="25" t="s">
        <v>302</v>
      </c>
      <c r="F34" s="15">
        <v>18</v>
      </c>
      <c r="G34" s="75">
        <v>0</v>
      </c>
      <c r="H34" s="15">
        <f t="shared" si="44"/>
        <v>0</v>
      </c>
      <c r="I34" s="15">
        <f t="shared" si="45"/>
        <v>0</v>
      </c>
      <c r="J34" s="15">
        <f t="shared" si="46"/>
        <v>0</v>
      </c>
      <c r="K34" s="22" t="s">
        <v>250</v>
      </c>
      <c r="L34" s="8"/>
      <c r="Z34" s="43">
        <f t="shared" si="47"/>
        <v>0</v>
      </c>
      <c r="AB34" s="43">
        <f t="shared" si="48"/>
        <v>0</v>
      </c>
      <c r="AC34" s="43">
        <f t="shared" si="49"/>
        <v>0</v>
      </c>
      <c r="AD34" s="43">
        <f t="shared" si="50"/>
        <v>0</v>
      </c>
      <c r="AE34" s="43">
        <f t="shared" si="51"/>
        <v>0</v>
      </c>
      <c r="AF34" s="43">
        <f t="shared" si="52"/>
        <v>0</v>
      </c>
      <c r="AG34" s="43">
        <f t="shared" si="53"/>
        <v>0</v>
      </c>
      <c r="AH34" s="43">
        <f t="shared" si="54"/>
        <v>0</v>
      </c>
      <c r="AI34" s="65" t="s">
        <v>255</v>
      </c>
      <c r="AJ34" s="43">
        <f t="shared" si="55"/>
        <v>0</v>
      </c>
      <c r="AK34" s="43">
        <f t="shared" si="56"/>
        <v>0</v>
      </c>
      <c r="AL34" s="43">
        <f t="shared" si="57"/>
        <v>0</v>
      </c>
      <c r="AN34" s="43">
        <v>21</v>
      </c>
      <c r="AO34" s="43">
        <f>G34*0.162217659137577</f>
        <v>0</v>
      </c>
      <c r="AP34" s="43">
        <f>G34*(1-0.162217659137577)</f>
        <v>0</v>
      </c>
      <c r="AQ34" s="62" t="s">
        <v>375</v>
      </c>
      <c r="AV34" s="43">
        <f t="shared" si="58"/>
        <v>0</v>
      </c>
      <c r="AW34" s="43">
        <f t="shared" si="59"/>
        <v>0</v>
      </c>
      <c r="AX34" s="43">
        <f t="shared" si="60"/>
        <v>0</v>
      </c>
      <c r="AY34" s="62" t="s">
        <v>45</v>
      </c>
      <c r="AZ34" s="62" t="s">
        <v>338</v>
      </c>
      <c r="BA34" s="65" t="s">
        <v>275</v>
      </c>
      <c r="BC34" s="43">
        <f t="shared" si="61"/>
        <v>0</v>
      </c>
      <c r="BD34" s="43">
        <f t="shared" si="62"/>
        <v>0</v>
      </c>
      <c r="BE34" s="43">
        <v>0</v>
      </c>
      <c r="BF34" s="43">
        <f>34</f>
        <v>34</v>
      </c>
      <c r="BH34" s="43">
        <f t="shared" si="63"/>
        <v>0</v>
      </c>
      <c r="BI34" s="43">
        <f t="shared" si="64"/>
        <v>0</v>
      </c>
      <c r="BJ34" s="43">
        <f t="shared" si="65"/>
        <v>0</v>
      </c>
      <c r="BK34" s="43"/>
      <c r="BL34" s="43">
        <v>733</v>
      </c>
      <c r="BW34" s="43">
        <v>21</v>
      </c>
    </row>
    <row r="35" spans="1:75" ht="27" customHeight="1">
      <c r="A35" s="6" t="s">
        <v>261</v>
      </c>
      <c r="B35" s="25" t="s">
        <v>241</v>
      </c>
      <c r="C35" s="102" t="s">
        <v>356</v>
      </c>
      <c r="D35" s="103"/>
      <c r="E35" s="25" t="s">
        <v>302</v>
      </c>
      <c r="F35" s="15">
        <v>6</v>
      </c>
      <c r="G35" s="75">
        <v>0</v>
      </c>
      <c r="H35" s="15">
        <f t="shared" si="44"/>
        <v>0</v>
      </c>
      <c r="I35" s="15">
        <f t="shared" si="45"/>
        <v>0</v>
      </c>
      <c r="J35" s="15">
        <f t="shared" si="46"/>
        <v>0</v>
      </c>
      <c r="K35" s="22" t="s">
        <v>250</v>
      </c>
      <c r="L35" s="8"/>
      <c r="Z35" s="43">
        <f t="shared" si="47"/>
        <v>0</v>
      </c>
      <c r="AB35" s="43">
        <f t="shared" si="48"/>
        <v>0</v>
      </c>
      <c r="AC35" s="43">
        <f t="shared" si="49"/>
        <v>0</v>
      </c>
      <c r="AD35" s="43">
        <f t="shared" si="50"/>
        <v>0</v>
      </c>
      <c r="AE35" s="43">
        <f t="shared" si="51"/>
        <v>0</v>
      </c>
      <c r="AF35" s="43">
        <f t="shared" si="52"/>
        <v>0</v>
      </c>
      <c r="AG35" s="43">
        <f t="shared" si="53"/>
        <v>0</v>
      </c>
      <c r="AH35" s="43">
        <f t="shared" si="54"/>
        <v>0</v>
      </c>
      <c r="AI35" s="65" t="s">
        <v>255</v>
      </c>
      <c r="AJ35" s="43">
        <f t="shared" si="55"/>
        <v>0</v>
      </c>
      <c r="AK35" s="43">
        <f t="shared" si="56"/>
        <v>0</v>
      </c>
      <c r="AL35" s="43">
        <f t="shared" si="57"/>
        <v>0</v>
      </c>
      <c r="AN35" s="43">
        <v>21</v>
      </c>
      <c r="AO35" s="43">
        <f>G35*0.486810279053911</f>
        <v>0</v>
      </c>
      <c r="AP35" s="43">
        <f>G35*(1-0.486810279053911)</f>
        <v>0</v>
      </c>
      <c r="AQ35" s="62" t="s">
        <v>375</v>
      </c>
      <c r="AV35" s="43">
        <f t="shared" si="58"/>
        <v>0</v>
      </c>
      <c r="AW35" s="43">
        <f t="shared" si="59"/>
        <v>0</v>
      </c>
      <c r="AX35" s="43">
        <f t="shared" si="60"/>
        <v>0</v>
      </c>
      <c r="AY35" s="62" t="s">
        <v>45</v>
      </c>
      <c r="AZ35" s="62" t="s">
        <v>338</v>
      </c>
      <c r="BA35" s="65" t="s">
        <v>275</v>
      </c>
      <c r="BC35" s="43">
        <f t="shared" si="61"/>
        <v>0</v>
      </c>
      <c r="BD35" s="43">
        <f t="shared" si="62"/>
        <v>0</v>
      </c>
      <c r="BE35" s="43">
        <v>0</v>
      </c>
      <c r="BF35" s="43">
        <f>35</f>
        <v>35</v>
      </c>
      <c r="BH35" s="43">
        <f t="shared" si="63"/>
        <v>0</v>
      </c>
      <c r="BI35" s="43">
        <f t="shared" si="64"/>
        <v>0</v>
      </c>
      <c r="BJ35" s="43">
        <f t="shared" si="65"/>
        <v>0</v>
      </c>
      <c r="BK35" s="43"/>
      <c r="BL35" s="43">
        <v>733</v>
      </c>
      <c r="BW35" s="43">
        <v>21</v>
      </c>
    </row>
    <row r="36" spans="1:75" ht="27" customHeight="1">
      <c r="A36" s="6" t="s">
        <v>355</v>
      </c>
      <c r="B36" s="25" t="s">
        <v>422</v>
      </c>
      <c r="C36" s="102" t="s">
        <v>110</v>
      </c>
      <c r="D36" s="103"/>
      <c r="E36" s="25" t="s">
        <v>302</v>
      </c>
      <c r="F36" s="15">
        <v>12</v>
      </c>
      <c r="G36" s="75">
        <v>0</v>
      </c>
      <c r="H36" s="15">
        <f t="shared" si="44"/>
        <v>0</v>
      </c>
      <c r="I36" s="15">
        <f t="shared" si="45"/>
        <v>0</v>
      </c>
      <c r="J36" s="15">
        <f t="shared" si="46"/>
        <v>0</v>
      </c>
      <c r="K36" s="22" t="s">
        <v>310</v>
      </c>
      <c r="L36" s="8"/>
      <c r="Z36" s="43">
        <f t="shared" si="47"/>
        <v>0</v>
      </c>
      <c r="AB36" s="43">
        <f t="shared" si="48"/>
        <v>0</v>
      </c>
      <c r="AC36" s="43">
        <f t="shared" si="49"/>
        <v>0</v>
      </c>
      <c r="AD36" s="43">
        <f t="shared" si="50"/>
        <v>0</v>
      </c>
      <c r="AE36" s="43">
        <f t="shared" si="51"/>
        <v>0</v>
      </c>
      <c r="AF36" s="43">
        <f t="shared" si="52"/>
        <v>0</v>
      </c>
      <c r="AG36" s="43">
        <f t="shared" si="53"/>
        <v>0</v>
      </c>
      <c r="AH36" s="43">
        <f t="shared" si="54"/>
        <v>0</v>
      </c>
      <c r="AI36" s="65" t="s">
        <v>255</v>
      </c>
      <c r="AJ36" s="43">
        <f t="shared" si="55"/>
        <v>0</v>
      </c>
      <c r="AK36" s="43">
        <f t="shared" si="56"/>
        <v>0</v>
      </c>
      <c r="AL36" s="43">
        <f t="shared" si="57"/>
        <v>0</v>
      </c>
      <c r="AN36" s="43">
        <v>21</v>
      </c>
      <c r="AO36" s="43">
        <f>G36*0.41859229747676</f>
        <v>0</v>
      </c>
      <c r="AP36" s="43">
        <f>G36*(1-0.41859229747676)</f>
        <v>0</v>
      </c>
      <c r="AQ36" s="62" t="s">
        <v>375</v>
      </c>
      <c r="AV36" s="43">
        <f t="shared" si="58"/>
        <v>0</v>
      </c>
      <c r="AW36" s="43">
        <f t="shared" si="59"/>
        <v>0</v>
      </c>
      <c r="AX36" s="43">
        <f t="shared" si="60"/>
        <v>0</v>
      </c>
      <c r="AY36" s="62" t="s">
        <v>45</v>
      </c>
      <c r="AZ36" s="62" t="s">
        <v>338</v>
      </c>
      <c r="BA36" s="65" t="s">
        <v>275</v>
      </c>
      <c r="BC36" s="43">
        <f t="shared" si="61"/>
        <v>0</v>
      </c>
      <c r="BD36" s="43">
        <f t="shared" si="62"/>
        <v>0</v>
      </c>
      <c r="BE36" s="43">
        <v>0</v>
      </c>
      <c r="BF36" s="43">
        <f>36</f>
        <v>36</v>
      </c>
      <c r="BH36" s="43">
        <f t="shared" si="63"/>
        <v>0</v>
      </c>
      <c r="BI36" s="43">
        <f t="shared" si="64"/>
        <v>0</v>
      </c>
      <c r="BJ36" s="43">
        <f t="shared" si="65"/>
        <v>0</v>
      </c>
      <c r="BK36" s="43"/>
      <c r="BL36" s="43">
        <v>733</v>
      </c>
      <c r="BW36" s="43">
        <v>21</v>
      </c>
    </row>
    <row r="37" spans="1:75" ht="27" customHeight="1">
      <c r="A37" s="6" t="s">
        <v>167</v>
      </c>
      <c r="B37" s="25" t="s">
        <v>168</v>
      </c>
      <c r="C37" s="102" t="s">
        <v>349</v>
      </c>
      <c r="D37" s="103"/>
      <c r="E37" s="25" t="s">
        <v>99</v>
      </c>
      <c r="F37" s="15">
        <v>1</v>
      </c>
      <c r="G37" s="75">
        <v>0</v>
      </c>
      <c r="H37" s="15">
        <f t="shared" si="44"/>
        <v>0</v>
      </c>
      <c r="I37" s="15">
        <f t="shared" si="45"/>
        <v>0</v>
      </c>
      <c r="J37" s="15">
        <f t="shared" si="46"/>
        <v>0</v>
      </c>
      <c r="K37" s="22" t="s">
        <v>250</v>
      </c>
      <c r="L37" s="8"/>
      <c r="Z37" s="43">
        <f t="shared" si="47"/>
        <v>0</v>
      </c>
      <c r="AB37" s="43">
        <f t="shared" si="48"/>
        <v>0</v>
      </c>
      <c r="AC37" s="43">
        <f t="shared" si="49"/>
        <v>0</v>
      </c>
      <c r="AD37" s="43">
        <f t="shared" si="50"/>
        <v>0</v>
      </c>
      <c r="AE37" s="43">
        <f t="shared" si="51"/>
        <v>0</v>
      </c>
      <c r="AF37" s="43">
        <f t="shared" si="52"/>
        <v>0</v>
      </c>
      <c r="AG37" s="43">
        <f t="shared" si="53"/>
        <v>0</v>
      </c>
      <c r="AH37" s="43">
        <f t="shared" si="54"/>
        <v>0</v>
      </c>
      <c r="AI37" s="65" t="s">
        <v>255</v>
      </c>
      <c r="AJ37" s="43">
        <f t="shared" si="55"/>
        <v>0</v>
      </c>
      <c r="AK37" s="43">
        <f t="shared" si="56"/>
        <v>0</v>
      </c>
      <c r="AL37" s="43">
        <f t="shared" si="57"/>
        <v>0</v>
      </c>
      <c r="AN37" s="43">
        <v>21</v>
      </c>
      <c r="AO37" s="43">
        <f>G37*0.478753315649867</f>
        <v>0</v>
      </c>
      <c r="AP37" s="43">
        <f>G37*(1-0.478753315649867)</f>
        <v>0</v>
      </c>
      <c r="AQ37" s="62" t="s">
        <v>375</v>
      </c>
      <c r="AV37" s="43">
        <f t="shared" si="58"/>
        <v>0</v>
      </c>
      <c r="AW37" s="43">
        <f t="shared" si="59"/>
        <v>0</v>
      </c>
      <c r="AX37" s="43">
        <f t="shared" si="60"/>
        <v>0</v>
      </c>
      <c r="AY37" s="62" t="s">
        <v>45</v>
      </c>
      <c r="AZ37" s="62" t="s">
        <v>338</v>
      </c>
      <c r="BA37" s="65" t="s">
        <v>275</v>
      </c>
      <c r="BC37" s="43">
        <f t="shared" si="61"/>
        <v>0</v>
      </c>
      <c r="BD37" s="43">
        <f t="shared" si="62"/>
        <v>0</v>
      </c>
      <c r="BE37" s="43">
        <v>0</v>
      </c>
      <c r="BF37" s="43">
        <f>37</f>
        <v>37</v>
      </c>
      <c r="BH37" s="43">
        <f t="shared" si="63"/>
        <v>0</v>
      </c>
      <c r="BI37" s="43">
        <f t="shared" si="64"/>
        <v>0</v>
      </c>
      <c r="BJ37" s="43">
        <f t="shared" si="65"/>
        <v>0</v>
      </c>
      <c r="BK37" s="43"/>
      <c r="BL37" s="43">
        <v>733</v>
      </c>
      <c r="BW37" s="43">
        <v>21</v>
      </c>
    </row>
    <row r="38" spans="1:75" ht="27" customHeight="1">
      <c r="A38" s="6" t="s">
        <v>42</v>
      </c>
      <c r="B38" s="25" t="s">
        <v>7</v>
      </c>
      <c r="C38" s="102" t="s">
        <v>270</v>
      </c>
      <c r="D38" s="103"/>
      <c r="E38" s="25" t="s">
        <v>99</v>
      </c>
      <c r="F38" s="15">
        <v>5</v>
      </c>
      <c r="G38" s="75">
        <v>0</v>
      </c>
      <c r="H38" s="15">
        <f t="shared" si="44"/>
        <v>0</v>
      </c>
      <c r="I38" s="15">
        <f t="shared" si="45"/>
        <v>0</v>
      </c>
      <c r="J38" s="15">
        <f t="shared" si="46"/>
        <v>0</v>
      </c>
      <c r="K38" s="22" t="s">
        <v>250</v>
      </c>
      <c r="L38" s="8"/>
      <c r="Z38" s="43">
        <f t="shared" si="47"/>
        <v>0</v>
      </c>
      <c r="AB38" s="43">
        <f t="shared" si="48"/>
        <v>0</v>
      </c>
      <c r="AC38" s="43">
        <f t="shared" si="49"/>
        <v>0</v>
      </c>
      <c r="AD38" s="43">
        <f t="shared" si="50"/>
        <v>0</v>
      </c>
      <c r="AE38" s="43">
        <f t="shared" si="51"/>
        <v>0</v>
      </c>
      <c r="AF38" s="43">
        <f t="shared" si="52"/>
        <v>0</v>
      </c>
      <c r="AG38" s="43">
        <f t="shared" si="53"/>
        <v>0</v>
      </c>
      <c r="AH38" s="43">
        <f t="shared" si="54"/>
        <v>0</v>
      </c>
      <c r="AI38" s="65" t="s">
        <v>255</v>
      </c>
      <c r="AJ38" s="43">
        <f t="shared" si="55"/>
        <v>0</v>
      </c>
      <c r="AK38" s="43">
        <f t="shared" si="56"/>
        <v>0</v>
      </c>
      <c r="AL38" s="43">
        <f t="shared" si="57"/>
        <v>0</v>
      </c>
      <c r="AN38" s="43">
        <v>21</v>
      </c>
      <c r="AO38" s="43">
        <f>G38*0.479129007114546</f>
        <v>0</v>
      </c>
      <c r="AP38" s="43">
        <f>G38*(1-0.479129007114546)</f>
        <v>0</v>
      </c>
      <c r="AQ38" s="62" t="s">
        <v>375</v>
      </c>
      <c r="AV38" s="43">
        <f t="shared" si="58"/>
        <v>0</v>
      </c>
      <c r="AW38" s="43">
        <f t="shared" si="59"/>
        <v>0</v>
      </c>
      <c r="AX38" s="43">
        <f t="shared" si="60"/>
        <v>0</v>
      </c>
      <c r="AY38" s="62" t="s">
        <v>45</v>
      </c>
      <c r="AZ38" s="62" t="s">
        <v>338</v>
      </c>
      <c r="BA38" s="65" t="s">
        <v>275</v>
      </c>
      <c r="BC38" s="43">
        <f t="shared" si="61"/>
        <v>0</v>
      </c>
      <c r="BD38" s="43">
        <f t="shared" si="62"/>
        <v>0</v>
      </c>
      <c r="BE38" s="43">
        <v>0</v>
      </c>
      <c r="BF38" s="43">
        <f>38</f>
        <v>38</v>
      </c>
      <c r="BH38" s="43">
        <f t="shared" si="63"/>
        <v>0</v>
      </c>
      <c r="BI38" s="43">
        <f t="shared" si="64"/>
        <v>0</v>
      </c>
      <c r="BJ38" s="43">
        <f t="shared" si="65"/>
        <v>0</v>
      </c>
      <c r="BK38" s="43"/>
      <c r="BL38" s="43">
        <v>733</v>
      </c>
      <c r="BW38" s="43">
        <v>21</v>
      </c>
    </row>
    <row r="39" spans="1:75" ht="27" customHeight="1">
      <c r="A39" s="6" t="s">
        <v>98</v>
      </c>
      <c r="B39" s="25" t="s">
        <v>353</v>
      </c>
      <c r="C39" s="102" t="s">
        <v>181</v>
      </c>
      <c r="D39" s="103"/>
      <c r="E39" s="25" t="s">
        <v>302</v>
      </c>
      <c r="F39" s="15">
        <v>12</v>
      </c>
      <c r="G39" s="75">
        <v>0</v>
      </c>
      <c r="H39" s="15">
        <f t="shared" si="44"/>
        <v>0</v>
      </c>
      <c r="I39" s="15">
        <f t="shared" si="45"/>
        <v>0</v>
      </c>
      <c r="J39" s="15">
        <f t="shared" si="46"/>
        <v>0</v>
      </c>
      <c r="K39" s="22" t="s">
        <v>250</v>
      </c>
      <c r="L39" s="8"/>
      <c r="Z39" s="43">
        <f t="shared" si="47"/>
        <v>0</v>
      </c>
      <c r="AB39" s="43">
        <f t="shared" si="48"/>
        <v>0</v>
      </c>
      <c r="AC39" s="43">
        <f t="shared" si="49"/>
        <v>0</v>
      </c>
      <c r="AD39" s="43">
        <f t="shared" si="50"/>
        <v>0</v>
      </c>
      <c r="AE39" s="43">
        <f t="shared" si="51"/>
        <v>0</v>
      </c>
      <c r="AF39" s="43">
        <f t="shared" si="52"/>
        <v>0</v>
      </c>
      <c r="AG39" s="43">
        <f t="shared" si="53"/>
        <v>0</v>
      </c>
      <c r="AH39" s="43">
        <f t="shared" si="54"/>
        <v>0</v>
      </c>
      <c r="AI39" s="65" t="s">
        <v>255</v>
      </c>
      <c r="AJ39" s="43">
        <f t="shared" si="55"/>
        <v>0</v>
      </c>
      <c r="AK39" s="43">
        <f t="shared" si="56"/>
        <v>0</v>
      </c>
      <c r="AL39" s="43">
        <f t="shared" si="57"/>
        <v>0</v>
      </c>
      <c r="AN39" s="43">
        <v>21</v>
      </c>
      <c r="AO39" s="43">
        <f>G39*0.567946336429309</f>
        <v>0</v>
      </c>
      <c r="AP39" s="43">
        <f>G39*(1-0.567946336429309)</f>
        <v>0</v>
      </c>
      <c r="AQ39" s="62" t="s">
        <v>375</v>
      </c>
      <c r="AV39" s="43">
        <f t="shared" si="58"/>
        <v>0</v>
      </c>
      <c r="AW39" s="43">
        <f t="shared" si="59"/>
        <v>0</v>
      </c>
      <c r="AX39" s="43">
        <f t="shared" si="60"/>
        <v>0</v>
      </c>
      <c r="AY39" s="62" t="s">
        <v>45</v>
      </c>
      <c r="AZ39" s="62" t="s">
        <v>338</v>
      </c>
      <c r="BA39" s="65" t="s">
        <v>275</v>
      </c>
      <c r="BC39" s="43">
        <f t="shared" si="61"/>
        <v>0</v>
      </c>
      <c r="BD39" s="43">
        <f t="shared" si="62"/>
        <v>0</v>
      </c>
      <c r="BE39" s="43">
        <v>0</v>
      </c>
      <c r="BF39" s="43">
        <f>39</f>
        <v>39</v>
      </c>
      <c r="BH39" s="43">
        <f t="shared" si="63"/>
        <v>0</v>
      </c>
      <c r="BI39" s="43">
        <f t="shared" si="64"/>
        <v>0</v>
      </c>
      <c r="BJ39" s="43">
        <f t="shared" si="65"/>
        <v>0</v>
      </c>
      <c r="BK39" s="43"/>
      <c r="BL39" s="43">
        <v>733</v>
      </c>
      <c r="BW39" s="43">
        <v>21</v>
      </c>
    </row>
    <row r="40" spans="1:75" ht="27" customHeight="1">
      <c r="A40" s="6" t="s">
        <v>54</v>
      </c>
      <c r="B40" s="25" t="s">
        <v>276</v>
      </c>
      <c r="C40" s="102" t="s">
        <v>329</v>
      </c>
      <c r="D40" s="103"/>
      <c r="E40" s="25" t="s">
        <v>302</v>
      </c>
      <c r="F40" s="15">
        <v>18</v>
      </c>
      <c r="G40" s="75">
        <v>0</v>
      </c>
      <c r="H40" s="15">
        <f t="shared" si="44"/>
        <v>0</v>
      </c>
      <c r="I40" s="15">
        <f t="shared" si="45"/>
        <v>0</v>
      </c>
      <c r="J40" s="15">
        <f t="shared" si="46"/>
        <v>0</v>
      </c>
      <c r="K40" s="22" t="s">
        <v>250</v>
      </c>
      <c r="L40" s="8"/>
      <c r="Z40" s="43">
        <f t="shared" si="47"/>
        <v>0</v>
      </c>
      <c r="AB40" s="43">
        <f t="shared" si="48"/>
        <v>0</v>
      </c>
      <c r="AC40" s="43">
        <f t="shared" si="49"/>
        <v>0</v>
      </c>
      <c r="AD40" s="43">
        <f t="shared" si="50"/>
        <v>0</v>
      </c>
      <c r="AE40" s="43">
        <f t="shared" si="51"/>
        <v>0</v>
      </c>
      <c r="AF40" s="43">
        <f t="shared" si="52"/>
        <v>0</v>
      </c>
      <c r="AG40" s="43">
        <f t="shared" si="53"/>
        <v>0</v>
      </c>
      <c r="AH40" s="43">
        <f t="shared" si="54"/>
        <v>0</v>
      </c>
      <c r="AI40" s="65" t="s">
        <v>255</v>
      </c>
      <c r="AJ40" s="43">
        <f t="shared" si="55"/>
        <v>0</v>
      </c>
      <c r="AK40" s="43">
        <f t="shared" si="56"/>
        <v>0</v>
      </c>
      <c r="AL40" s="43">
        <f t="shared" si="57"/>
        <v>0</v>
      </c>
      <c r="AN40" s="43">
        <v>21</v>
      </c>
      <c r="AO40" s="43">
        <f>G40*0.628125445473984</f>
        <v>0</v>
      </c>
      <c r="AP40" s="43">
        <f>G40*(1-0.628125445473984)</f>
        <v>0</v>
      </c>
      <c r="AQ40" s="62" t="s">
        <v>375</v>
      </c>
      <c r="AV40" s="43">
        <f t="shared" si="58"/>
        <v>0</v>
      </c>
      <c r="AW40" s="43">
        <f t="shared" si="59"/>
        <v>0</v>
      </c>
      <c r="AX40" s="43">
        <f t="shared" si="60"/>
        <v>0</v>
      </c>
      <c r="AY40" s="62" t="s">
        <v>45</v>
      </c>
      <c r="AZ40" s="62" t="s">
        <v>338</v>
      </c>
      <c r="BA40" s="65" t="s">
        <v>275</v>
      </c>
      <c r="BC40" s="43">
        <f t="shared" si="61"/>
        <v>0</v>
      </c>
      <c r="BD40" s="43">
        <f t="shared" si="62"/>
        <v>0</v>
      </c>
      <c r="BE40" s="43">
        <v>0</v>
      </c>
      <c r="BF40" s="43">
        <f>40</f>
        <v>40</v>
      </c>
      <c r="BH40" s="43">
        <f t="shared" si="63"/>
        <v>0</v>
      </c>
      <c r="BI40" s="43">
        <f t="shared" si="64"/>
        <v>0</v>
      </c>
      <c r="BJ40" s="43">
        <f t="shared" si="65"/>
        <v>0</v>
      </c>
      <c r="BK40" s="43"/>
      <c r="BL40" s="43">
        <v>733</v>
      </c>
      <c r="BW40" s="43">
        <v>21</v>
      </c>
    </row>
    <row r="41" spans="1:75" ht="27" customHeight="1">
      <c r="A41" s="6" t="s">
        <v>361</v>
      </c>
      <c r="B41" s="25" t="s">
        <v>147</v>
      </c>
      <c r="C41" s="102" t="s">
        <v>267</v>
      </c>
      <c r="D41" s="103"/>
      <c r="E41" s="25" t="s">
        <v>302</v>
      </c>
      <c r="F41" s="15">
        <v>18</v>
      </c>
      <c r="G41" s="75">
        <v>0</v>
      </c>
      <c r="H41" s="15">
        <f t="shared" si="44"/>
        <v>0</v>
      </c>
      <c r="I41" s="15">
        <f t="shared" si="45"/>
        <v>0</v>
      </c>
      <c r="J41" s="15">
        <f t="shared" si="46"/>
        <v>0</v>
      </c>
      <c r="K41" s="22" t="s">
        <v>250</v>
      </c>
      <c r="L41" s="8"/>
      <c r="Z41" s="43">
        <f t="shared" si="47"/>
        <v>0</v>
      </c>
      <c r="AB41" s="43">
        <f t="shared" si="48"/>
        <v>0</v>
      </c>
      <c r="AC41" s="43">
        <f t="shared" si="49"/>
        <v>0</v>
      </c>
      <c r="AD41" s="43">
        <f t="shared" si="50"/>
        <v>0</v>
      </c>
      <c r="AE41" s="43">
        <f t="shared" si="51"/>
        <v>0</v>
      </c>
      <c r="AF41" s="43">
        <f t="shared" si="52"/>
        <v>0</v>
      </c>
      <c r="AG41" s="43">
        <f t="shared" si="53"/>
        <v>0</v>
      </c>
      <c r="AH41" s="43">
        <f t="shared" si="54"/>
        <v>0</v>
      </c>
      <c r="AI41" s="65" t="s">
        <v>255</v>
      </c>
      <c r="AJ41" s="43">
        <f t="shared" si="55"/>
        <v>0</v>
      </c>
      <c r="AK41" s="43">
        <f t="shared" si="56"/>
        <v>0</v>
      </c>
      <c r="AL41" s="43">
        <f t="shared" si="57"/>
        <v>0</v>
      </c>
      <c r="AN41" s="43">
        <v>21</v>
      </c>
      <c r="AO41" s="43">
        <f>G41*0.023728813559322</f>
        <v>0</v>
      </c>
      <c r="AP41" s="43">
        <f>G41*(1-0.023728813559322)</f>
        <v>0</v>
      </c>
      <c r="AQ41" s="62" t="s">
        <v>375</v>
      </c>
      <c r="AV41" s="43">
        <f t="shared" si="58"/>
        <v>0</v>
      </c>
      <c r="AW41" s="43">
        <f t="shared" si="59"/>
        <v>0</v>
      </c>
      <c r="AX41" s="43">
        <f t="shared" si="60"/>
        <v>0</v>
      </c>
      <c r="AY41" s="62" t="s">
        <v>45</v>
      </c>
      <c r="AZ41" s="62" t="s">
        <v>338</v>
      </c>
      <c r="BA41" s="65" t="s">
        <v>275</v>
      </c>
      <c r="BC41" s="43">
        <f t="shared" si="61"/>
        <v>0</v>
      </c>
      <c r="BD41" s="43">
        <f t="shared" si="62"/>
        <v>0</v>
      </c>
      <c r="BE41" s="43">
        <v>0</v>
      </c>
      <c r="BF41" s="43">
        <f>41</f>
        <v>41</v>
      </c>
      <c r="BH41" s="43">
        <f t="shared" si="63"/>
        <v>0</v>
      </c>
      <c r="BI41" s="43">
        <f t="shared" si="64"/>
        <v>0</v>
      </c>
      <c r="BJ41" s="43">
        <f t="shared" si="65"/>
        <v>0</v>
      </c>
      <c r="BK41" s="43"/>
      <c r="BL41" s="43">
        <v>733</v>
      </c>
      <c r="BW41" s="43">
        <v>21</v>
      </c>
    </row>
    <row r="42" spans="1:75" ht="27" customHeight="1">
      <c r="A42" s="6" t="s">
        <v>410</v>
      </c>
      <c r="B42" s="25" t="s">
        <v>386</v>
      </c>
      <c r="C42" s="102" t="s">
        <v>148</v>
      </c>
      <c r="D42" s="103"/>
      <c r="E42" s="25" t="s">
        <v>302</v>
      </c>
      <c r="F42" s="15">
        <v>30</v>
      </c>
      <c r="G42" s="75">
        <v>0</v>
      </c>
      <c r="H42" s="15">
        <f t="shared" si="44"/>
        <v>0</v>
      </c>
      <c r="I42" s="15">
        <f t="shared" si="45"/>
        <v>0</v>
      </c>
      <c r="J42" s="15">
        <f t="shared" si="46"/>
        <v>0</v>
      </c>
      <c r="K42" s="22" t="s">
        <v>250</v>
      </c>
      <c r="L42" s="8"/>
      <c r="Z42" s="43">
        <f t="shared" si="47"/>
        <v>0</v>
      </c>
      <c r="AB42" s="43">
        <f t="shared" si="48"/>
        <v>0</v>
      </c>
      <c r="AC42" s="43">
        <f t="shared" si="49"/>
        <v>0</v>
      </c>
      <c r="AD42" s="43">
        <f t="shared" si="50"/>
        <v>0</v>
      </c>
      <c r="AE42" s="43">
        <f t="shared" si="51"/>
        <v>0</v>
      </c>
      <c r="AF42" s="43">
        <f t="shared" si="52"/>
        <v>0</v>
      </c>
      <c r="AG42" s="43">
        <f t="shared" si="53"/>
        <v>0</v>
      </c>
      <c r="AH42" s="43">
        <f t="shared" si="54"/>
        <v>0</v>
      </c>
      <c r="AI42" s="65" t="s">
        <v>255</v>
      </c>
      <c r="AJ42" s="43">
        <f t="shared" si="55"/>
        <v>0</v>
      </c>
      <c r="AK42" s="43">
        <f t="shared" si="56"/>
        <v>0</v>
      </c>
      <c r="AL42" s="43">
        <f t="shared" si="57"/>
        <v>0</v>
      </c>
      <c r="AN42" s="43">
        <v>21</v>
      </c>
      <c r="AO42" s="43">
        <f>G42*0.0424710424710425</f>
        <v>0</v>
      </c>
      <c r="AP42" s="43">
        <f>G42*(1-0.0424710424710425)</f>
        <v>0</v>
      </c>
      <c r="AQ42" s="62" t="s">
        <v>375</v>
      </c>
      <c r="AV42" s="43">
        <f t="shared" si="58"/>
        <v>0</v>
      </c>
      <c r="AW42" s="43">
        <f t="shared" si="59"/>
        <v>0</v>
      </c>
      <c r="AX42" s="43">
        <f t="shared" si="60"/>
        <v>0</v>
      </c>
      <c r="AY42" s="62" t="s">
        <v>45</v>
      </c>
      <c r="AZ42" s="62" t="s">
        <v>338</v>
      </c>
      <c r="BA42" s="65" t="s">
        <v>275</v>
      </c>
      <c r="BC42" s="43">
        <f t="shared" si="61"/>
        <v>0</v>
      </c>
      <c r="BD42" s="43">
        <f t="shared" si="62"/>
        <v>0</v>
      </c>
      <c r="BE42" s="43">
        <v>0</v>
      </c>
      <c r="BF42" s="43">
        <f>42</f>
        <v>42</v>
      </c>
      <c r="BH42" s="43">
        <f t="shared" si="63"/>
        <v>0</v>
      </c>
      <c r="BI42" s="43">
        <f t="shared" si="64"/>
        <v>0</v>
      </c>
      <c r="BJ42" s="43">
        <f t="shared" si="65"/>
        <v>0</v>
      </c>
      <c r="BK42" s="43"/>
      <c r="BL42" s="43">
        <v>733</v>
      </c>
      <c r="BW42" s="43">
        <v>21</v>
      </c>
    </row>
    <row r="43" spans="1:75" ht="13.5" customHeight="1">
      <c r="A43" s="6" t="s">
        <v>33</v>
      </c>
      <c r="B43" s="25" t="s">
        <v>393</v>
      </c>
      <c r="C43" s="102" t="s">
        <v>280</v>
      </c>
      <c r="D43" s="103"/>
      <c r="E43" s="25" t="s">
        <v>302</v>
      </c>
      <c r="F43" s="15">
        <v>30</v>
      </c>
      <c r="G43" s="75">
        <v>0</v>
      </c>
      <c r="H43" s="15">
        <f t="shared" si="44"/>
        <v>0</v>
      </c>
      <c r="I43" s="15">
        <f t="shared" si="45"/>
        <v>0</v>
      </c>
      <c r="J43" s="15">
        <f t="shared" si="46"/>
        <v>0</v>
      </c>
      <c r="K43" s="22" t="s">
        <v>250</v>
      </c>
      <c r="L43" s="8"/>
      <c r="Z43" s="43">
        <f t="shared" si="47"/>
        <v>0</v>
      </c>
      <c r="AB43" s="43">
        <f t="shared" si="48"/>
        <v>0</v>
      </c>
      <c r="AC43" s="43">
        <f t="shared" si="49"/>
        <v>0</v>
      </c>
      <c r="AD43" s="43">
        <f t="shared" si="50"/>
        <v>0</v>
      </c>
      <c r="AE43" s="43">
        <f t="shared" si="51"/>
        <v>0</v>
      </c>
      <c r="AF43" s="43">
        <f t="shared" si="52"/>
        <v>0</v>
      </c>
      <c r="AG43" s="43">
        <f t="shared" si="53"/>
        <v>0</v>
      </c>
      <c r="AH43" s="43">
        <f t="shared" si="54"/>
        <v>0</v>
      </c>
      <c r="AI43" s="65" t="s">
        <v>255</v>
      </c>
      <c r="AJ43" s="43">
        <f t="shared" si="55"/>
        <v>0</v>
      </c>
      <c r="AK43" s="43">
        <f t="shared" si="56"/>
        <v>0</v>
      </c>
      <c r="AL43" s="43">
        <f t="shared" si="57"/>
        <v>0</v>
      </c>
      <c r="AN43" s="43">
        <v>21</v>
      </c>
      <c r="AO43" s="43">
        <f>G43*0</f>
        <v>0</v>
      </c>
      <c r="AP43" s="43">
        <f>G43*(1-0)</f>
        <v>0</v>
      </c>
      <c r="AQ43" s="62" t="s">
        <v>251</v>
      </c>
      <c r="AV43" s="43">
        <f t="shared" si="58"/>
        <v>0</v>
      </c>
      <c r="AW43" s="43">
        <f t="shared" si="59"/>
        <v>0</v>
      </c>
      <c r="AX43" s="43">
        <f t="shared" si="60"/>
        <v>0</v>
      </c>
      <c r="AY43" s="62" t="s">
        <v>45</v>
      </c>
      <c r="AZ43" s="62" t="s">
        <v>338</v>
      </c>
      <c r="BA43" s="65" t="s">
        <v>275</v>
      </c>
      <c r="BC43" s="43">
        <f t="shared" si="61"/>
        <v>0</v>
      </c>
      <c r="BD43" s="43">
        <f t="shared" si="62"/>
        <v>0</v>
      </c>
      <c r="BE43" s="43">
        <v>0</v>
      </c>
      <c r="BF43" s="43">
        <f>43</f>
        <v>43</v>
      </c>
      <c r="BH43" s="43">
        <f t="shared" si="63"/>
        <v>0</v>
      </c>
      <c r="BI43" s="43">
        <f t="shared" si="64"/>
        <v>0</v>
      </c>
      <c r="BJ43" s="43">
        <f t="shared" si="65"/>
        <v>0</v>
      </c>
      <c r="BK43" s="43"/>
      <c r="BL43" s="43">
        <v>733</v>
      </c>
      <c r="BW43" s="43">
        <v>21</v>
      </c>
    </row>
    <row r="44" spans="1:75" ht="13.5" customHeight="1">
      <c r="A44" s="6" t="s">
        <v>234</v>
      </c>
      <c r="B44" s="25" t="s">
        <v>18</v>
      </c>
      <c r="C44" s="102" t="s">
        <v>339</v>
      </c>
      <c r="D44" s="103"/>
      <c r="E44" s="25" t="s">
        <v>302</v>
      </c>
      <c r="F44" s="15">
        <v>18</v>
      </c>
      <c r="G44" s="75">
        <v>0</v>
      </c>
      <c r="H44" s="15">
        <f t="shared" si="44"/>
        <v>0</v>
      </c>
      <c r="I44" s="15">
        <f t="shared" si="45"/>
        <v>0</v>
      </c>
      <c r="J44" s="15">
        <f t="shared" si="46"/>
        <v>0</v>
      </c>
      <c r="K44" s="22" t="s">
        <v>250</v>
      </c>
      <c r="L44" s="8"/>
      <c r="Z44" s="43">
        <f t="shared" si="47"/>
        <v>0</v>
      </c>
      <c r="AB44" s="43">
        <f t="shared" si="48"/>
        <v>0</v>
      </c>
      <c r="AC44" s="43">
        <f t="shared" si="49"/>
        <v>0</v>
      </c>
      <c r="AD44" s="43">
        <f t="shared" si="50"/>
        <v>0</v>
      </c>
      <c r="AE44" s="43">
        <f t="shared" si="51"/>
        <v>0</v>
      </c>
      <c r="AF44" s="43">
        <f t="shared" si="52"/>
        <v>0</v>
      </c>
      <c r="AG44" s="43">
        <f t="shared" si="53"/>
        <v>0</v>
      </c>
      <c r="AH44" s="43">
        <f t="shared" si="54"/>
        <v>0</v>
      </c>
      <c r="AI44" s="65" t="s">
        <v>255</v>
      </c>
      <c r="AJ44" s="43">
        <f t="shared" si="55"/>
        <v>0</v>
      </c>
      <c r="AK44" s="43">
        <f t="shared" si="56"/>
        <v>0</v>
      </c>
      <c r="AL44" s="43">
        <f t="shared" si="57"/>
        <v>0</v>
      </c>
      <c r="AN44" s="43">
        <v>21</v>
      </c>
      <c r="AO44" s="43">
        <f>G44*0</f>
        <v>0</v>
      </c>
      <c r="AP44" s="43">
        <f>G44*(1-0)</f>
        <v>0</v>
      </c>
      <c r="AQ44" s="62" t="s">
        <v>251</v>
      </c>
      <c r="AV44" s="43">
        <f t="shared" si="58"/>
        <v>0</v>
      </c>
      <c r="AW44" s="43">
        <f t="shared" si="59"/>
        <v>0</v>
      </c>
      <c r="AX44" s="43">
        <f t="shared" si="60"/>
        <v>0</v>
      </c>
      <c r="AY44" s="62" t="s">
        <v>45</v>
      </c>
      <c r="AZ44" s="62" t="s">
        <v>338</v>
      </c>
      <c r="BA44" s="65" t="s">
        <v>275</v>
      </c>
      <c r="BC44" s="43">
        <f t="shared" si="61"/>
        <v>0</v>
      </c>
      <c r="BD44" s="43">
        <f t="shared" si="62"/>
        <v>0</v>
      </c>
      <c r="BE44" s="43">
        <v>0</v>
      </c>
      <c r="BF44" s="43">
        <f>44</f>
        <v>44</v>
      </c>
      <c r="BH44" s="43">
        <f t="shared" si="63"/>
        <v>0</v>
      </c>
      <c r="BI44" s="43">
        <f t="shared" si="64"/>
        <v>0</v>
      </c>
      <c r="BJ44" s="43">
        <f t="shared" si="65"/>
        <v>0</v>
      </c>
      <c r="BK44" s="43"/>
      <c r="BL44" s="43">
        <v>733</v>
      </c>
      <c r="BW44" s="43">
        <v>21</v>
      </c>
    </row>
    <row r="45" spans="1:75" ht="27" customHeight="1">
      <c r="A45" s="6" t="s">
        <v>215</v>
      </c>
      <c r="B45" s="25" t="s">
        <v>392</v>
      </c>
      <c r="C45" s="102" t="s">
        <v>423</v>
      </c>
      <c r="D45" s="103"/>
      <c r="E45" s="25" t="s">
        <v>99</v>
      </c>
      <c r="F45" s="15">
        <v>3</v>
      </c>
      <c r="G45" s="75">
        <v>0</v>
      </c>
      <c r="H45" s="15">
        <f t="shared" si="44"/>
        <v>0</v>
      </c>
      <c r="I45" s="15">
        <f t="shared" si="45"/>
        <v>0</v>
      </c>
      <c r="J45" s="15">
        <f t="shared" si="46"/>
        <v>0</v>
      </c>
      <c r="K45" s="22" t="s">
        <v>250</v>
      </c>
      <c r="L45" s="8"/>
      <c r="Z45" s="43">
        <f t="shared" si="47"/>
        <v>0</v>
      </c>
      <c r="AB45" s="43">
        <f t="shared" si="48"/>
        <v>0</v>
      </c>
      <c r="AC45" s="43">
        <f t="shared" si="49"/>
        <v>0</v>
      </c>
      <c r="AD45" s="43">
        <f t="shared" si="50"/>
        <v>0</v>
      </c>
      <c r="AE45" s="43">
        <f t="shared" si="51"/>
        <v>0</v>
      </c>
      <c r="AF45" s="43">
        <f t="shared" si="52"/>
        <v>0</v>
      </c>
      <c r="AG45" s="43">
        <f t="shared" si="53"/>
        <v>0</v>
      </c>
      <c r="AH45" s="43">
        <f t="shared" si="54"/>
        <v>0</v>
      </c>
      <c r="AI45" s="65" t="s">
        <v>255</v>
      </c>
      <c r="AJ45" s="43">
        <f t="shared" si="55"/>
        <v>0</v>
      </c>
      <c r="AK45" s="43">
        <f t="shared" si="56"/>
        <v>0</v>
      </c>
      <c r="AL45" s="43">
        <f t="shared" si="57"/>
        <v>0</v>
      </c>
      <c r="AN45" s="43">
        <v>21</v>
      </c>
      <c r="AO45" s="43">
        <f>G45*0.122222222222222</f>
        <v>0</v>
      </c>
      <c r="AP45" s="43">
        <f>G45*(1-0.122222222222222)</f>
        <v>0</v>
      </c>
      <c r="AQ45" s="62" t="s">
        <v>375</v>
      </c>
      <c r="AV45" s="43">
        <f t="shared" si="58"/>
        <v>0</v>
      </c>
      <c r="AW45" s="43">
        <f t="shared" si="59"/>
        <v>0</v>
      </c>
      <c r="AX45" s="43">
        <f t="shared" si="60"/>
        <v>0</v>
      </c>
      <c r="AY45" s="62" t="s">
        <v>45</v>
      </c>
      <c r="AZ45" s="62" t="s">
        <v>338</v>
      </c>
      <c r="BA45" s="65" t="s">
        <v>275</v>
      </c>
      <c r="BC45" s="43">
        <f t="shared" si="61"/>
        <v>0</v>
      </c>
      <c r="BD45" s="43">
        <f t="shared" si="62"/>
        <v>0</v>
      </c>
      <c r="BE45" s="43">
        <v>0</v>
      </c>
      <c r="BF45" s="43">
        <f>45</f>
        <v>45</v>
      </c>
      <c r="BH45" s="43">
        <f t="shared" si="63"/>
        <v>0</v>
      </c>
      <c r="BI45" s="43">
        <f t="shared" si="64"/>
        <v>0</v>
      </c>
      <c r="BJ45" s="43">
        <f t="shared" si="65"/>
        <v>0</v>
      </c>
      <c r="BK45" s="43"/>
      <c r="BL45" s="43">
        <v>733</v>
      </c>
      <c r="BW45" s="43">
        <v>21</v>
      </c>
    </row>
    <row r="46" spans="1:75" ht="27" customHeight="1">
      <c r="A46" s="6" t="s">
        <v>304</v>
      </c>
      <c r="B46" s="25" t="s">
        <v>57</v>
      </c>
      <c r="C46" s="102" t="s">
        <v>23</v>
      </c>
      <c r="D46" s="103"/>
      <c r="E46" s="25" t="s">
        <v>99</v>
      </c>
      <c r="F46" s="15">
        <v>3</v>
      </c>
      <c r="G46" s="75">
        <v>0</v>
      </c>
      <c r="H46" s="15">
        <f t="shared" si="44"/>
        <v>0</v>
      </c>
      <c r="I46" s="15">
        <f t="shared" si="45"/>
        <v>0</v>
      </c>
      <c r="J46" s="15">
        <f t="shared" si="46"/>
        <v>0</v>
      </c>
      <c r="K46" s="22" t="s">
        <v>250</v>
      </c>
      <c r="L46" s="8"/>
      <c r="Z46" s="43">
        <f t="shared" si="47"/>
        <v>0</v>
      </c>
      <c r="AB46" s="43">
        <f t="shared" si="48"/>
        <v>0</v>
      </c>
      <c r="AC46" s="43">
        <f t="shared" si="49"/>
        <v>0</v>
      </c>
      <c r="AD46" s="43">
        <f t="shared" si="50"/>
        <v>0</v>
      </c>
      <c r="AE46" s="43">
        <f t="shared" si="51"/>
        <v>0</v>
      </c>
      <c r="AF46" s="43">
        <f t="shared" si="52"/>
        <v>0</v>
      </c>
      <c r="AG46" s="43">
        <f t="shared" si="53"/>
        <v>0</v>
      </c>
      <c r="AH46" s="43">
        <f t="shared" si="54"/>
        <v>0</v>
      </c>
      <c r="AI46" s="65" t="s">
        <v>255</v>
      </c>
      <c r="AJ46" s="43">
        <f t="shared" si="55"/>
        <v>0</v>
      </c>
      <c r="AK46" s="43">
        <f t="shared" si="56"/>
        <v>0</v>
      </c>
      <c r="AL46" s="43">
        <f t="shared" si="57"/>
        <v>0</v>
      </c>
      <c r="AN46" s="43">
        <v>21</v>
      </c>
      <c r="AO46" s="43">
        <f>G46*0.131034482758621</f>
        <v>0</v>
      </c>
      <c r="AP46" s="43">
        <f>G46*(1-0.131034482758621)</f>
        <v>0</v>
      </c>
      <c r="AQ46" s="62" t="s">
        <v>375</v>
      </c>
      <c r="AV46" s="43">
        <f t="shared" si="58"/>
        <v>0</v>
      </c>
      <c r="AW46" s="43">
        <f t="shared" si="59"/>
        <v>0</v>
      </c>
      <c r="AX46" s="43">
        <f t="shared" si="60"/>
        <v>0</v>
      </c>
      <c r="AY46" s="62" t="s">
        <v>45</v>
      </c>
      <c r="AZ46" s="62" t="s">
        <v>338</v>
      </c>
      <c r="BA46" s="65" t="s">
        <v>275</v>
      </c>
      <c r="BC46" s="43">
        <f t="shared" si="61"/>
        <v>0</v>
      </c>
      <c r="BD46" s="43">
        <f t="shared" si="62"/>
        <v>0</v>
      </c>
      <c r="BE46" s="43">
        <v>0</v>
      </c>
      <c r="BF46" s="43">
        <f>46</f>
        <v>46</v>
      </c>
      <c r="BH46" s="43">
        <f t="shared" si="63"/>
        <v>0</v>
      </c>
      <c r="BI46" s="43">
        <f t="shared" si="64"/>
        <v>0</v>
      </c>
      <c r="BJ46" s="43">
        <f t="shared" si="65"/>
        <v>0</v>
      </c>
      <c r="BK46" s="43"/>
      <c r="BL46" s="43">
        <v>733</v>
      </c>
      <c r="BW46" s="43">
        <v>21</v>
      </c>
    </row>
    <row r="47" spans="1:75" ht="27" customHeight="1">
      <c r="A47" s="6" t="s">
        <v>88</v>
      </c>
      <c r="B47" s="25" t="s">
        <v>411</v>
      </c>
      <c r="C47" s="102" t="s">
        <v>117</v>
      </c>
      <c r="D47" s="103"/>
      <c r="E47" s="25" t="s">
        <v>99</v>
      </c>
      <c r="F47" s="15">
        <v>6</v>
      </c>
      <c r="G47" s="75">
        <v>0</v>
      </c>
      <c r="H47" s="15">
        <f t="shared" si="44"/>
        <v>0</v>
      </c>
      <c r="I47" s="15">
        <f t="shared" si="45"/>
        <v>0</v>
      </c>
      <c r="J47" s="15">
        <f t="shared" si="46"/>
        <v>0</v>
      </c>
      <c r="K47" s="22" t="s">
        <v>250</v>
      </c>
      <c r="L47" s="8"/>
      <c r="Z47" s="43">
        <f t="shared" si="47"/>
        <v>0</v>
      </c>
      <c r="AB47" s="43">
        <f t="shared" si="48"/>
        <v>0</v>
      </c>
      <c r="AC47" s="43">
        <f t="shared" si="49"/>
        <v>0</v>
      </c>
      <c r="AD47" s="43">
        <f t="shared" si="50"/>
        <v>0</v>
      </c>
      <c r="AE47" s="43">
        <f t="shared" si="51"/>
        <v>0</v>
      </c>
      <c r="AF47" s="43">
        <f t="shared" si="52"/>
        <v>0</v>
      </c>
      <c r="AG47" s="43">
        <f t="shared" si="53"/>
        <v>0</v>
      </c>
      <c r="AH47" s="43">
        <f t="shared" si="54"/>
        <v>0</v>
      </c>
      <c r="AI47" s="65" t="s">
        <v>255</v>
      </c>
      <c r="AJ47" s="43">
        <f t="shared" si="55"/>
        <v>0</v>
      </c>
      <c r="AK47" s="43">
        <f t="shared" si="56"/>
        <v>0</v>
      </c>
      <c r="AL47" s="43">
        <f t="shared" si="57"/>
        <v>0</v>
      </c>
      <c r="AN47" s="43">
        <v>21</v>
      </c>
      <c r="AO47" s="43">
        <f>G47*0.108771929824561</f>
        <v>0</v>
      </c>
      <c r="AP47" s="43">
        <f>G47*(1-0.108771929824561)</f>
        <v>0</v>
      </c>
      <c r="AQ47" s="62" t="s">
        <v>375</v>
      </c>
      <c r="AV47" s="43">
        <f t="shared" si="58"/>
        <v>0</v>
      </c>
      <c r="AW47" s="43">
        <f t="shared" si="59"/>
        <v>0</v>
      </c>
      <c r="AX47" s="43">
        <f t="shared" si="60"/>
        <v>0</v>
      </c>
      <c r="AY47" s="62" t="s">
        <v>45</v>
      </c>
      <c r="AZ47" s="62" t="s">
        <v>338</v>
      </c>
      <c r="BA47" s="65" t="s">
        <v>275</v>
      </c>
      <c r="BC47" s="43">
        <f t="shared" si="61"/>
        <v>0</v>
      </c>
      <c r="BD47" s="43">
        <f t="shared" si="62"/>
        <v>0</v>
      </c>
      <c r="BE47" s="43">
        <v>0</v>
      </c>
      <c r="BF47" s="43">
        <f>47</f>
        <v>47</v>
      </c>
      <c r="BH47" s="43">
        <f t="shared" si="63"/>
        <v>0</v>
      </c>
      <c r="BI47" s="43">
        <f t="shared" si="64"/>
        <v>0</v>
      </c>
      <c r="BJ47" s="43">
        <f t="shared" si="65"/>
        <v>0</v>
      </c>
      <c r="BK47" s="43"/>
      <c r="BL47" s="43">
        <v>733</v>
      </c>
      <c r="BW47" s="43">
        <v>21</v>
      </c>
    </row>
    <row r="48" spans="1:75" ht="27" customHeight="1">
      <c r="A48" s="6" t="s">
        <v>419</v>
      </c>
      <c r="B48" s="25" t="s">
        <v>106</v>
      </c>
      <c r="C48" s="102" t="s">
        <v>180</v>
      </c>
      <c r="D48" s="103"/>
      <c r="E48" s="25" t="s">
        <v>99</v>
      </c>
      <c r="F48" s="15">
        <v>3</v>
      </c>
      <c r="G48" s="75">
        <v>0</v>
      </c>
      <c r="H48" s="15">
        <f t="shared" si="44"/>
        <v>0</v>
      </c>
      <c r="I48" s="15">
        <f t="shared" si="45"/>
        <v>0</v>
      </c>
      <c r="J48" s="15">
        <f t="shared" si="46"/>
        <v>0</v>
      </c>
      <c r="K48" s="22" t="s">
        <v>250</v>
      </c>
      <c r="L48" s="8"/>
      <c r="Z48" s="43">
        <f t="shared" si="47"/>
        <v>0</v>
      </c>
      <c r="AB48" s="43">
        <f t="shared" si="48"/>
        <v>0</v>
      </c>
      <c r="AC48" s="43">
        <f t="shared" si="49"/>
        <v>0</v>
      </c>
      <c r="AD48" s="43">
        <f t="shared" si="50"/>
        <v>0</v>
      </c>
      <c r="AE48" s="43">
        <f t="shared" si="51"/>
        <v>0</v>
      </c>
      <c r="AF48" s="43">
        <f t="shared" si="52"/>
        <v>0</v>
      </c>
      <c r="AG48" s="43">
        <f t="shared" si="53"/>
        <v>0</v>
      </c>
      <c r="AH48" s="43">
        <f t="shared" si="54"/>
        <v>0</v>
      </c>
      <c r="AI48" s="65" t="s">
        <v>255</v>
      </c>
      <c r="AJ48" s="43">
        <f t="shared" si="55"/>
        <v>0</v>
      </c>
      <c r="AK48" s="43">
        <f t="shared" si="56"/>
        <v>0</v>
      </c>
      <c r="AL48" s="43">
        <f t="shared" si="57"/>
        <v>0</v>
      </c>
      <c r="AN48" s="43">
        <v>21</v>
      </c>
      <c r="AO48" s="43">
        <f>G48*0.423743937924345</f>
        <v>0</v>
      </c>
      <c r="AP48" s="43">
        <f>G48*(1-0.423743937924345)</f>
        <v>0</v>
      </c>
      <c r="AQ48" s="62" t="s">
        <v>375</v>
      </c>
      <c r="AV48" s="43">
        <f t="shared" si="58"/>
        <v>0</v>
      </c>
      <c r="AW48" s="43">
        <f t="shared" si="59"/>
        <v>0</v>
      </c>
      <c r="AX48" s="43">
        <f t="shared" si="60"/>
        <v>0</v>
      </c>
      <c r="AY48" s="62" t="s">
        <v>45</v>
      </c>
      <c r="AZ48" s="62" t="s">
        <v>338</v>
      </c>
      <c r="BA48" s="65" t="s">
        <v>275</v>
      </c>
      <c r="BC48" s="43">
        <f t="shared" si="61"/>
        <v>0</v>
      </c>
      <c r="BD48" s="43">
        <f t="shared" si="62"/>
        <v>0</v>
      </c>
      <c r="BE48" s="43">
        <v>0</v>
      </c>
      <c r="BF48" s="43">
        <f>48</f>
        <v>48</v>
      </c>
      <c r="BH48" s="43">
        <f t="shared" si="63"/>
        <v>0</v>
      </c>
      <c r="BI48" s="43">
        <f t="shared" si="64"/>
        <v>0</v>
      </c>
      <c r="BJ48" s="43">
        <f t="shared" si="65"/>
        <v>0</v>
      </c>
      <c r="BK48" s="43"/>
      <c r="BL48" s="43">
        <v>733</v>
      </c>
      <c r="BW48" s="43">
        <v>21</v>
      </c>
    </row>
    <row r="49" spans="1:75" ht="27" customHeight="1">
      <c r="A49" s="53" t="s">
        <v>327</v>
      </c>
      <c r="B49" s="12" t="s">
        <v>192</v>
      </c>
      <c r="C49" s="88" t="s">
        <v>319</v>
      </c>
      <c r="D49" s="83"/>
      <c r="E49" s="12" t="s">
        <v>295</v>
      </c>
      <c r="F49" s="43">
        <v>1</v>
      </c>
      <c r="G49" s="75">
        <v>0</v>
      </c>
      <c r="H49" s="43">
        <f t="shared" si="44"/>
        <v>0</v>
      </c>
      <c r="I49" s="43">
        <f t="shared" si="45"/>
        <v>0</v>
      </c>
      <c r="J49" s="43">
        <f t="shared" si="46"/>
        <v>0</v>
      </c>
      <c r="K49" s="62" t="s">
        <v>250</v>
      </c>
      <c r="L49" s="8"/>
      <c r="Z49" s="43">
        <f t="shared" si="47"/>
        <v>0</v>
      </c>
      <c r="AB49" s="43">
        <f t="shared" si="48"/>
        <v>0</v>
      </c>
      <c r="AC49" s="43">
        <f t="shared" si="49"/>
        <v>0</v>
      </c>
      <c r="AD49" s="43">
        <f t="shared" si="50"/>
        <v>0</v>
      </c>
      <c r="AE49" s="43">
        <f t="shared" si="51"/>
        <v>0</v>
      </c>
      <c r="AF49" s="43">
        <f t="shared" si="52"/>
        <v>0</v>
      </c>
      <c r="AG49" s="43">
        <f t="shared" si="53"/>
        <v>0</v>
      </c>
      <c r="AH49" s="43">
        <f t="shared" si="54"/>
        <v>0</v>
      </c>
      <c r="AI49" s="65" t="s">
        <v>255</v>
      </c>
      <c r="AJ49" s="43">
        <f t="shared" si="55"/>
        <v>0</v>
      </c>
      <c r="AK49" s="43">
        <f t="shared" si="56"/>
        <v>0</v>
      </c>
      <c r="AL49" s="43">
        <f t="shared" si="57"/>
        <v>0</v>
      </c>
      <c r="AN49" s="43">
        <v>21</v>
      </c>
      <c r="AO49" s="43">
        <f>G49*1</f>
        <v>0</v>
      </c>
      <c r="AP49" s="43">
        <f>G49*(1-1)</f>
        <v>0</v>
      </c>
      <c r="AQ49" s="62" t="s">
        <v>375</v>
      </c>
      <c r="AV49" s="43">
        <f t="shared" si="58"/>
        <v>0</v>
      </c>
      <c r="AW49" s="43">
        <f t="shared" si="59"/>
        <v>0</v>
      </c>
      <c r="AX49" s="43">
        <f t="shared" si="60"/>
        <v>0</v>
      </c>
      <c r="AY49" s="62" t="s">
        <v>45</v>
      </c>
      <c r="AZ49" s="62" t="s">
        <v>338</v>
      </c>
      <c r="BA49" s="65" t="s">
        <v>275</v>
      </c>
      <c r="BC49" s="43">
        <f t="shared" si="61"/>
        <v>0</v>
      </c>
      <c r="BD49" s="43">
        <f t="shared" si="62"/>
        <v>0</v>
      </c>
      <c r="BE49" s="43">
        <v>0</v>
      </c>
      <c r="BF49" s="43">
        <f>49</f>
        <v>49</v>
      </c>
      <c r="BH49" s="43">
        <f t="shared" si="63"/>
        <v>0</v>
      </c>
      <c r="BI49" s="43">
        <f t="shared" si="64"/>
        <v>0</v>
      </c>
      <c r="BJ49" s="43">
        <f t="shared" si="65"/>
        <v>0</v>
      </c>
      <c r="BK49" s="43"/>
      <c r="BL49" s="43">
        <v>733</v>
      </c>
      <c r="BW49" s="43">
        <v>21</v>
      </c>
    </row>
    <row r="50" spans="1:75" ht="27" customHeight="1">
      <c r="A50" s="53" t="s">
        <v>212</v>
      </c>
      <c r="B50" s="12" t="s">
        <v>93</v>
      </c>
      <c r="C50" s="88" t="s">
        <v>193</v>
      </c>
      <c r="D50" s="83"/>
      <c r="E50" s="12" t="s">
        <v>295</v>
      </c>
      <c r="F50" s="43">
        <v>2</v>
      </c>
      <c r="G50" s="75">
        <v>0</v>
      </c>
      <c r="H50" s="43">
        <f t="shared" si="44"/>
        <v>0</v>
      </c>
      <c r="I50" s="43">
        <f t="shared" si="45"/>
        <v>0</v>
      </c>
      <c r="J50" s="43">
        <f t="shared" si="46"/>
        <v>0</v>
      </c>
      <c r="K50" s="62" t="s">
        <v>250</v>
      </c>
      <c r="L50" s="8"/>
      <c r="Z50" s="43">
        <f t="shared" si="47"/>
        <v>0</v>
      </c>
      <c r="AB50" s="43">
        <f t="shared" si="48"/>
        <v>0</v>
      </c>
      <c r="AC50" s="43">
        <f t="shared" si="49"/>
        <v>0</v>
      </c>
      <c r="AD50" s="43">
        <f t="shared" si="50"/>
        <v>0</v>
      </c>
      <c r="AE50" s="43">
        <f t="shared" si="51"/>
        <v>0</v>
      </c>
      <c r="AF50" s="43">
        <f t="shared" si="52"/>
        <v>0</v>
      </c>
      <c r="AG50" s="43">
        <f t="shared" si="53"/>
        <v>0</v>
      </c>
      <c r="AH50" s="43">
        <f t="shared" si="54"/>
        <v>0</v>
      </c>
      <c r="AI50" s="65" t="s">
        <v>255</v>
      </c>
      <c r="AJ50" s="43">
        <f t="shared" si="55"/>
        <v>0</v>
      </c>
      <c r="AK50" s="43">
        <f t="shared" si="56"/>
        <v>0</v>
      </c>
      <c r="AL50" s="43">
        <f t="shared" si="57"/>
        <v>0</v>
      </c>
      <c r="AN50" s="43">
        <v>21</v>
      </c>
      <c r="AO50" s="43">
        <f>G50*1</f>
        <v>0</v>
      </c>
      <c r="AP50" s="43">
        <f>G50*(1-1)</f>
        <v>0</v>
      </c>
      <c r="AQ50" s="62" t="s">
        <v>375</v>
      </c>
      <c r="AV50" s="43">
        <f t="shared" si="58"/>
        <v>0</v>
      </c>
      <c r="AW50" s="43">
        <f t="shared" si="59"/>
        <v>0</v>
      </c>
      <c r="AX50" s="43">
        <f t="shared" si="60"/>
        <v>0</v>
      </c>
      <c r="AY50" s="62" t="s">
        <v>45</v>
      </c>
      <c r="AZ50" s="62" t="s">
        <v>338</v>
      </c>
      <c r="BA50" s="65" t="s">
        <v>275</v>
      </c>
      <c r="BC50" s="43">
        <f t="shared" si="61"/>
        <v>0</v>
      </c>
      <c r="BD50" s="43">
        <f t="shared" si="62"/>
        <v>0</v>
      </c>
      <c r="BE50" s="43">
        <v>0</v>
      </c>
      <c r="BF50" s="43">
        <f>50</f>
        <v>50</v>
      </c>
      <c r="BH50" s="43">
        <f t="shared" si="63"/>
        <v>0</v>
      </c>
      <c r="BI50" s="43">
        <f t="shared" si="64"/>
        <v>0</v>
      </c>
      <c r="BJ50" s="43">
        <f t="shared" si="65"/>
        <v>0</v>
      </c>
      <c r="BK50" s="43"/>
      <c r="BL50" s="43">
        <v>733</v>
      </c>
      <c r="BW50" s="43">
        <v>21</v>
      </c>
    </row>
    <row r="51" spans="1:75" ht="27" customHeight="1">
      <c r="A51" s="53" t="s">
        <v>364</v>
      </c>
      <c r="B51" s="12" t="s">
        <v>183</v>
      </c>
      <c r="C51" s="88" t="s">
        <v>330</v>
      </c>
      <c r="D51" s="83"/>
      <c r="E51" s="12" t="s">
        <v>295</v>
      </c>
      <c r="F51" s="43">
        <v>2</v>
      </c>
      <c r="G51" s="75">
        <v>0</v>
      </c>
      <c r="H51" s="43">
        <f t="shared" si="44"/>
        <v>0</v>
      </c>
      <c r="I51" s="43">
        <f t="shared" si="45"/>
        <v>0</v>
      </c>
      <c r="J51" s="43">
        <f t="shared" si="46"/>
        <v>0</v>
      </c>
      <c r="K51" s="62" t="s">
        <v>250</v>
      </c>
      <c r="L51" s="8"/>
      <c r="Z51" s="43">
        <f t="shared" si="47"/>
        <v>0</v>
      </c>
      <c r="AB51" s="43">
        <f t="shared" si="48"/>
        <v>0</v>
      </c>
      <c r="AC51" s="43">
        <f t="shared" si="49"/>
        <v>0</v>
      </c>
      <c r="AD51" s="43">
        <f t="shared" si="50"/>
        <v>0</v>
      </c>
      <c r="AE51" s="43">
        <f t="shared" si="51"/>
        <v>0</v>
      </c>
      <c r="AF51" s="43">
        <f t="shared" si="52"/>
        <v>0</v>
      </c>
      <c r="AG51" s="43">
        <f t="shared" si="53"/>
        <v>0</v>
      </c>
      <c r="AH51" s="43">
        <f t="shared" si="54"/>
        <v>0</v>
      </c>
      <c r="AI51" s="65" t="s">
        <v>255</v>
      </c>
      <c r="AJ51" s="43">
        <f t="shared" si="55"/>
        <v>0</v>
      </c>
      <c r="AK51" s="43">
        <f t="shared" si="56"/>
        <v>0</v>
      </c>
      <c r="AL51" s="43">
        <f t="shared" si="57"/>
        <v>0</v>
      </c>
      <c r="AN51" s="43">
        <v>21</v>
      </c>
      <c r="AO51" s="43">
        <f>G51*1</f>
        <v>0</v>
      </c>
      <c r="AP51" s="43">
        <f>G51*(1-1)</f>
        <v>0</v>
      </c>
      <c r="AQ51" s="62" t="s">
        <v>375</v>
      </c>
      <c r="AV51" s="43">
        <f t="shared" si="58"/>
        <v>0</v>
      </c>
      <c r="AW51" s="43">
        <f t="shared" si="59"/>
        <v>0</v>
      </c>
      <c r="AX51" s="43">
        <f t="shared" si="60"/>
        <v>0</v>
      </c>
      <c r="AY51" s="62" t="s">
        <v>45</v>
      </c>
      <c r="AZ51" s="62" t="s">
        <v>338</v>
      </c>
      <c r="BA51" s="65" t="s">
        <v>275</v>
      </c>
      <c r="BC51" s="43">
        <f t="shared" si="61"/>
        <v>0</v>
      </c>
      <c r="BD51" s="43">
        <f t="shared" si="62"/>
        <v>0</v>
      </c>
      <c r="BE51" s="43">
        <v>0</v>
      </c>
      <c r="BF51" s="43">
        <f>51</f>
        <v>51</v>
      </c>
      <c r="BH51" s="43">
        <f t="shared" si="63"/>
        <v>0</v>
      </c>
      <c r="BI51" s="43">
        <f t="shared" si="64"/>
        <v>0</v>
      </c>
      <c r="BJ51" s="43">
        <f t="shared" si="65"/>
        <v>0</v>
      </c>
      <c r="BK51" s="43"/>
      <c r="BL51" s="43">
        <v>733</v>
      </c>
      <c r="BW51" s="43">
        <v>21</v>
      </c>
    </row>
    <row r="52" spans="1:75" ht="27" customHeight="1">
      <c r="A52" s="53" t="s">
        <v>218</v>
      </c>
      <c r="B52" s="12" t="s">
        <v>315</v>
      </c>
      <c r="C52" s="88" t="s">
        <v>273</v>
      </c>
      <c r="D52" s="83"/>
      <c r="E52" s="12" t="s">
        <v>295</v>
      </c>
      <c r="F52" s="43">
        <v>3</v>
      </c>
      <c r="G52" s="75">
        <v>0</v>
      </c>
      <c r="H52" s="43">
        <f t="shared" si="44"/>
        <v>0</v>
      </c>
      <c r="I52" s="43">
        <f t="shared" si="45"/>
        <v>0</v>
      </c>
      <c r="J52" s="43">
        <f t="shared" si="46"/>
        <v>0</v>
      </c>
      <c r="K52" s="62" t="s">
        <v>250</v>
      </c>
      <c r="L52" s="8"/>
      <c r="Z52" s="43">
        <f t="shared" si="47"/>
        <v>0</v>
      </c>
      <c r="AB52" s="43">
        <f t="shared" si="48"/>
        <v>0</v>
      </c>
      <c r="AC52" s="43">
        <f t="shared" si="49"/>
        <v>0</v>
      </c>
      <c r="AD52" s="43">
        <f t="shared" si="50"/>
        <v>0</v>
      </c>
      <c r="AE52" s="43">
        <f t="shared" si="51"/>
        <v>0</v>
      </c>
      <c r="AF52" s="43">
        <f t="shared" si="52"/>
        <v>0</v>
      </c>
      <c r="AG52" s="43">
        <f t="shared" si="53"/>
        <v>0</v>
      </c>
      <c r="AH52" s="43">
        <f t="shared" si="54"/>
        <v>0</v>
      </c>
      <c r="AI52" s="65" t="s">
        <v>255</v>
      </c>
      <c r="AJ52" s="43">
        <f t="shared" si="55"/>
        <v>0</v>
      </c>
      <c r="AK52" s="43">
        <f t="shared" si="56"/>
        <v>0</v>
      </c>
      <c r="AL52" s="43">
        <f t="shared" si="57"/>
        <v>0</v>
      </c>
      <c r="AN52" s="43">
        <v>21</v>
      </c>
      <c r="AO52" s="43">
        <f>G52*1</f>
        <v>0</v>
      </c>
      <c r="AP52" s="43">
        <f>G52*(1-1)</f>
        <v>0</v>
      </c>
      <c r="AQ52" s="62" t="s">
        <v>375</v>
      </c>
      <c r="AV52" s="43">
        <f t="shared" si="58"/>
        <v>0</v>
      </c>
      <c r="AW52" s="43">
        <f t="shared" si="59"/>
        <v>0</v>
      </c>
      <c r="AX52" s="43">
        <f t="shared" si="60"/>
        <v>0</v>
      </c>
      <c r="AY52" s="62" t="s">
        <v>45</v>
      </c>
      <c r="AZ52" s="62" t="s">
        <v>338</v>
      </c>
      <c r="BA52" s="65" t="s">
        <v>275</v>
      </c>
      <c r="BC52" s="43">
        <f t="shared" si="61"/>
        <v>0</v>
      </c>
      <c r="BD52" s="43">
        <f t="shared" si="62"/>
        <v>0</v>
      </c>
      <c r="BE52" s="43">
        <v>0</v>
      </c>
      <c r="BF52" s="43">
        <f>52</f>
        <v>52</v>
      </c>
      <c r="BH52" s="43">
        <f t="shared" si="63"/>
        <v>0</v>
      </c>
      <c r="BI52" s="43">
        <f t="shared" si="64"/>
        <v>0</v>
      </c>
      <c r="BJ52" s="43">
        <f t="shared" si="65"/>
        <v>0</v>
      </c>
      <c r="BK52" s="43"/>
      <c r="BL52" s="43">
        <v>733</v>
      </c>
      <c r="BW52" s="43">
        <v>21</v>
      </c>
    </row>
    <row r="53" spans="1:75" ht="27" customHeight="1">
      <c r="A53" s="1" t="s">
        <v>233</v>
      </c>
      <c r="B53" s="39" t="s">
        <v>336</v>
      </c>
      <c r="C53" s="102" t="s">
        <v>321</v>
      </c>
      <c r="D53" s="103"/>
      <c r="E53" s="39" t="s">
        <v>171</v>
      </c>
      <c r="F53" s="41">
        <v>0.87223</v>
      </c>
      <c r="G53" s="75">
        <v>0</v>
      </c>
      <c r="H53" s="41">
        <f t="shared" si="44"/>
        <v>0</v>
      </c>
      <c r="I53" s="41">
        <f t="shared" si="45"/>
        <v>0</v>
      </c>
      <c r="J53" s="41">
        <f t="shared" si="46"/>
        <v>0</v>
      </c>
      <c r="K53" s="48" t="s">
        <v>250</v>
      </c>
      <c r="L53" s="8"/>
      <c r="Z53" s="43">
        <f t="shared" si="47"/>
        <v>0</v>
      </c>
      <c r="AB53" s="43">
        <f t="shared" si="48"/>
        <v>0</v>
      </c>
      <c r="AC53" s="43">
        <f t="shared" si="49"/>
        <v>0</v>
      </c>
      <c r="AD53" s="43">
        <f t="shared" si="50"/>
        <v>0</v>
      </c>
      <c r="AE53" s="43">
        <f t="shared" si="51"/>
        <v>0</v>
      </c>
      <c r="AF53" s="43">
        <f t="shared" si="52"/>
        <v>0</v>
      </c>
      <c r="AG53" s="43">
        <f t="shared" si="53"/>
        <v>0</v>
      </c>
      <c r="AH53" s="43">
        <f t="shared" si="54"/>
        <v>0</v>
      </c>
      <c r="AI53" s="65" t="s">
        <v>255</v>
      </c>
      <c r="AJ53" s="43">
        <f t="shared" si="55"/>
        <v>0</v>
      </c>
      <c r="AK53" s="43">
        <f t="shared" si="56"/>
        <v>0</v>
      </c>
      <c r="AL53" s="43">
        <f t="shared" si="57"/>
        <v>0</v>
      </c>
      <c r="AN53" s="43">
        <v>21</v>
      </c>
      <c r="AO53" s="43">
        <f>G53*0</f>
        <v>0</v>
      </c>
      <c r="AP53" s="43">
        <f>G53*(1-0)</f>
        <v>0</v>
      </c>
      <c r="AQ53" s="62" t="s">
        <v>201</v>
      </c>
      <c r="AV53" s="43">
        <f t="shared" si="58"/>
        <v>0</v>
      </c>
      <c r="AW53" s="43">
        <f t="shared" si="59"/>
        <v>0</v>
      </c>
      <c r="AX53" s="43">
        <f t="shared" si="60"/>
        <v>0</v>
      </c>
      <c r="AY53" s="62" t="s">
        <v>45</v>
      </c>
      <c r="AZ53" s="62" t="s">
        <v>338</v>
      </c>
      <c r="BA53" s="65" t="s">
        <v>275</v>
      </c>
      <c r="BC53" s="43">
        <f t="shared" si="61"/>
        <v>0</v>
      </c>
      <c r="BD53" s="43">
        <f t="shared" si="62"/>
        <v>0</v>
      </c>
      <c r="BE53" s="43">
        <v>0</v>
      </c>
      <c r="BF53" s="43">
        <f>53</f>
        <v>53</v>
      </c>
      <c r="BH53" s="43">
        <f t="shared" si="63"/>
        <v>0</v>
      </c>
      <c r="BI53" s="43">
        <f t="shared" si="64"/>
        <v>0</v>
      </c>
      <c r="BJ53" s="43">
        <f t="shared" si="65"/>
        <v>0</v>
      </c>
      <c r="BK53" s="43"/>
      <c r="BL53" s="43">
        <v>733</v>
      </c>
      <c r="BW53" s="43">
        <v>21</v>
      </c>
    </row>
    <row r="54" spans="1:47" ht="15" customHeight="1">
      <c r="A54" s="52" t="s">
        <v>255</v>
      </c>
      <c r="B54" s="23" t="s">
        <v>307</v>
      </c>
      <c r="C54" s="106" t="s">
        <v>240</v>
      </c>
      <c r="D54" s="107"/>
      <c r="E54" s="4" t="s">
        <v>344</v>
      </c>
      <c r="F54" s="4" t="s">
        <v>344</v>
      </c>
      <c r="G54" s="4" t="s">
        <v>344</v>
      </c>
      <c r="H54" s="2">
        <f>SUM(H55:H109)</f>
        <v>0</v>
      </c>
      <c r="I54" s="2">
        <f>SUM(I55:I109)</f>
        <v>0</v>
      </c>
      <c r="J54" s="2">
        <f>SUM(J55:J109)</f>
        <v>0</v>
      </c>
      <c r="K54" s="45" t="s">
        <v>255</v>
      </c>
      <c r="L54" s="8"/>
      <c r="AI54" s="65" t="s">
        <v>255</v>
      </c>
      <c r="AS54" s="50">
        <f>SUM(AJ55:AJ109)</f>
        <v>0</v>
      </c>
      <c r="AT54" s="50">
        <f>SUM(AK55:AK109)</f>
        <v>0</v>
      </c>
      <c r="AU54" s="50">
        <f>SUM(AL55:AL109)</f>
        <v>0</v>
      </c>
    </row>
    <row r="55" spans="1:75" ht="27" customHeight="1">
      <c r="A55" s="6" t="s">
        <v>133</v>
      </c>
      <c r="B55" s="25" t="s">
        <v>407</v>
      </c>
      <c r="C55" s="102" t="s">
        <v>351</v>
      </c>
      <c r="D55" s="103"/>
      <c r="E55" s="25" t="s">
        <v>99</v>
      </c>
      <c r="F55" s="15">
        <v>8</v>
      </c>
      <c r="G55" s="75">
        <v>0</v>
      </c>
      <c r="H55" s="15">
        <f aca="true" t="shared" si="66" ref="H55:H86">F55*AO55</f>
        <v>0</v>
      </c>
      <c r="I55" s="15">
        <f aca="true" t="shared" si="67" ref="I55:I86">F55*AP55</f>
        <v>0</v>
      </c>
      <c r="J55" s="15">
        <f aca="true" t="shared" si="68" ref="J55:J86">F55*G55</f>
        <v>0</v>
      </c>
      <c r="K55" s="22" t="s">
        <v>250</v>
      </c>
      <c r="L55" s="8"/>
      <c r="Z55" s="43">
        <f aca="true" t="shared" si="69" ref="Z55:Z86">IF(AQ55="5",BJ55,0)</f>
        <v>0</v>
      </c>
      <c r="AB55" s="43">
        <f aca="true" t="shared" si="70" ref="AB55:AB86">IF(AQ55="1",BH55,0)</f>
        <v>0</v>
      </c>
      <c r="AC55" s="43">
        <f aca="true" t="shared" si="71" ref="AC55:AC86">IF(AQ55="1",BI55,0)</f>
        <v>0</v>
      </c>
      <c r="AD55" s="43">
        <f aca="true" t="shared" si="72" ref="AD55:AD86">IF(AQ55="7",BH55,0)</f>
        <v>0</v>
      </c>
      <c r="AE55" s="43">
        <f aca="true" t="shared" si="73" ref="AE55:AE86">IF(AQ55="7",BI55,0)</f>
        <v>0</v>
      </c>
      <c r="AF55" s="43">
        <f aca="true" t="shared" si="74" ref="AF55:AF86">IF(AQ55="2",BH55,0)</f>
        <v>0</v>
      </c>
      <c r="AG55" s="43">
        <f aca="true" t="shared" si="75" ref="AG55:AG86">IF(AQ55="2",BI55,0)</f>
        <v>0</v>
      </c>
      <c r="AH55" s="43">
        <f aca="true" t="shared" si="76" ref="AH55:AH86">IF(AQ55="0",BJ55,0)</f>
        <v>0</v>
      </c>
      <c r="AI55" s="65" t="s">
        <v>255</v>
      </c>
      <c r="AJ55" s="43">
        <f aca="true" t="shared" si="77" ref="AJ55:AJ86">IF(AN55=0,J55,0)</f>
        <v>0</v>
      </c>
      <c r="AK55" s="43">
        <f aca="true" t="shared" si="78" ref="AK55:AK86">IF(AN55=15,J55,0)</f>
        <v>0</v>
      </c>
      <c r="AL55" s="43">
        <f aca="true" t="shared" si="79" ref="AL55:AL86">IF(AN55=21,J55,0)</f>
        <v>0</v>
      </c>
      <c r="AN55" s="43">
        <v>21</v>
      </c>
      <c r="AO55" s="43">
        <f>G55*0.0446888965280165</f>
        <v>0</v>
      </c>
      <c r="AP55" s="43">
        <f>G55*(1-0.0446888965280165)</f>
        <v>0</v>
      </c>
      <c r="AQ55" s="62" t="s">
        <v>375</v>
      </c>
      <c r="AV55" s="43">
        <f aca="true" t="shared" si="80" ref="AV55:AV86">AW55+AX55</f>
        <v>0</v>
      </c>
      <c r="AW55" s="43">
        <f aca="true" t="shared" si="81" ref="AW55:AW86">F55*AO55</f>
        <v>0</v>
      </c>
      <c r="AX55" s="43">
        <f aca="true" t="shared" si="82" ref="AX55:AX86">F55*AP55</f>
        <v>0</v>
      </c>
      <c r="AY55" s="62" t="s">
        <v>78</v>
      </c>
      <c r="AZ55" s="62" t="s">
        <v>338</v>
      </c>
      <c r="BA55" s="65" t="s">
        <v>275</v>
      </c>
      <c r="BC55" s="43">
        <f aca="true" t="shared" si="83" ref="BC55:BC86">AW55+AX55</f>
        <v>0</v>
      </c>
      <c r="BD55" s="43">
        <f aca="true" t="shared" si="84" ref="BD55:BD86">G55/(100-BE55)*100</f>
        <v>0</v>
      </c>
      <c r="BE55" s="43">
        <v>0</v>
      </c>
      <c r="BF55" s="43">
        <f>55</f>
        <v>55</v>
      </c>
      <c r="BH55" s="43">
        <f aca="true" t="shared" si="85" ref="BH55:BH86">F55*AO55</f>
        <v>0</v>
      </c>
      <c r="BI55" s="43">
        <f aca="true" t="shared" si="86" ref="BI55:BI86">F55*AP55</f>
        <v>0</v>
      </c>
      <c r="BJ55" s="43">
        <f aca="true" t="shared" si="87" ref="BJ55:BJ86">F55*G55</f>
        <v>0</v>
      </c>
      <c r="BK55" s="43"/>
      <c r="BL55" s="43">
        <v>734</v>
      </c>
      <c r="BW55" s="43">
        <v>21</v>
      </c>
    </row>
    <row r="56" spans="1:75" ht="13.5" customHeight="1">
      <c r="A56" s="53" t="s">
        <v>367</v>
      </c>
      <c r="B56" s="12" t="s">
        <v>162</v>
      </c>
      <c r="C56" s="88" t="s">
        <v>246</v>
      </c>
      <c r="D56" s="83"/>
      <c r="E56" s="12" t="s">
        <v>99</v>
      </c>
      <c r="F56" s="43">
        <v>8</v>
      </c>
      <c r="G56" s="75">
        <v>0</v>
      </c>
      <c r="H56" s="43">
        <f t="shared" si="66"/>
        <v>0</v>
      </c>
      <c r="I56" s="43">
        <f t="shared" si="67"/>
        <v>0</v>
      </c>
      <c r="J56" s="43">
        <f t="shared" si="68"/>
        <v>0</v>
      </c>
      <c r="K56" s="62" t="s">
        <v>250</v>
      </c>
      <c r="L56" s="8"/>
      <c r="Z56" s="43">
        <f t="shared" si="69"/>
        <v>0</v>
      </c>
      <c r="AB56" s="43">
        <f t="shared" si="70"/>
        <v>0</v>
      </c>
      <c r="AC56" s="43">
        <f t="shared" si="71"/>
        <v>0</v>
      </c>
      <c r="AD56" s="43">
        <f t="shared" si="72"/>
        <v>0</v>
      </c>
      <c r="AE56" s="43">
        <f t="shared" si="73"/>
        <v>0</v>
      </c>
      <c r="AF56" s="43">
        <f t="shared" si="74"/>
        <v>0</v>
      </c>
      <c r="AG56" s="43">
        <f t="shared" si="75"/>
        <v>0</v>
      </c>
      <c r="AH56" s="43">
        <f t="shared" si="76"/>
        <v>0</v>
      </c>
      <c r="AI56" s="65" t="s">
        <v>255</v>
      </c>
      <c r="AJ56" s="43">
        <f t="shared" si="77"/>
        <v>0</v>
      </c>
      <c r="AK56" s="43">
        <f t="shared" si="78"/>
        <v>0</v>
      </c>
      <c r="AL56" s="43">
        <f t="shared" si="79"/>
        <v>0</v>
      </c>
      <c r="AN56" s="43">
        <v>21</v>
      </c>
      <c r="AO56" s="43">
        <f>G56*1</f>
        <v>0</v>
      </c>
      <c r="AP56" s="43">
        <f>G56*(1-1)</f>
        <v>0</v>
      </c>
      <c r="AQ56" s="62" t="s">
        <v>375</v>
      </c>
      <c r="AV56" s="43">
        <f t="shared" si="80"/>
        <v>0</v>
      </c>
      <c r="AW56" s="43">
        <f t="shared" si="81"/>
        <v>0</v>
      </c>
      <c r="AX56" s="43">
        <f t="shared" si="82"/>
        <v>0</v>
      </c>
      <c r="AY56" s="62" t="s">
        <v>78</v>
      </c>
      <c r="AZ56" s="62" t="s">
        <v>338</v>
      </c>
      <c r="BA56" s="65" t="s">
        <v>275</v>
      </c>
      <c r="BC56" s="43">
        <f t="shared" si="83"/>
        <v>0</v>
      </c>
      <c r="BD56" s="43">
        <f t="shared" si="84"/>
        <v>0</v>
      </c>
      <c r="BE56" s="43">
        <v>0</v>
      </c>
      <c r="BF56" s="43">
        <f>56</f>
        <v>56</v>
      </c>
      <c r="BH56" s="43">
        <f t="shared" si="85"/>
        <v>0</v>
      </c>
      <c r="BI56" s="43">
        <f t="shared" si="86"/>
        <v>0</v>
      </c>
      <c r="BJ56" s="43">
        <f t="shared" si="87"/>
        <v>0</v>
      </c>
      <c r="BK56" s="43"/>
      <c r="BL56" s="43">
        <v>734</v>
      </c>
      <c r="BW56" s="43">
        <v>21</v>
      </c>
    </row>
    <row r="57" spans="1:75" ht="27" customHeight="1">
      <c r="A57" s="1" t="s">
        <v>75</v>
      </c>
      <c r="B57" s="39" t="s">
        <v>170</v>
      </c>
      <c r="C57" s="102" t="s">
        <v>86</v>
      </c>
      <c r="D57" s="103"/>
      <c r="E57" s="39" t="s">
        <v>99</v>
      </c>
      <c r="F57" s="41">
        <v>40</v>
      </c>
      <c r="G57" s="75">
        <v>0</v>
      </c>
      <c r="H57" s="41">
        <f t="shared" si="66"/>
        <v>0</v>
      </c>
      <c r="I57" s="41">
        <f t="shared" si="67"/>
        <v>0</v>
      </c>
      <c r="J57" s="41">
        <f t="shared" si="68"/>
        <v>0</v>
      </c>
      <c r="K57" s="48" t="s">
        <v>250</v>
      </c>
      <c r="L57" s="8"/>
      <c r="Z57" s="43">
        <f t="shared" si="69"/>
        <v>0</v>
      </c>
      <c r="AB57" s="43">
        <f t="shared" si="70"/>
        <v>0</v>
      </c>
      <c r="AC57" s="43">
        <f t="shared" si="71"/>
        <v>0</v>
      </c>
      <c r="AD57" s="43">
        <f t="shared" si="72"/>
        <v>0</v>
      </c>
      <c r="AE57" s="43">
        <f t="shared" si="73"/>
        <v>0</v>
      </c>
      <c r="AF57" s="43">
        <f t="shared" si="74"/>
        <v>0</v>
      </c>
      <c r="AG57" s="43">
        <f t="shared" si="75"/>
        <v>0</v>
      </c>
      <c r="AH57" s="43">
        <f t="shared" si="76"/>
        <v>0</v>
      </c>
      <c r="AI57" s="65" t="s">
        <v>255</v>
      </c>
      <c r="AJ57" s="43">
        <f t="shared" si="77"/>
        <v>0</v>
      </c>
      <c r="AK57" s="43">
        <f t="shared" si="78"/>
        <v>0</v>
      </c>
      <c r="AL57" s="43">
        <f t="shared" si="79"/>
        <v>0</v>
      </c>
      <c r="AN57" s="43">
        <v>21</v>
      </c>
      <c r="AO57" s="43">
        <f>G57*0.0654582074521652</f>
        <v>0</v>
      </c>
      <c r="AP57" s="43">
        <f>G57*(1-0.0654582074521652)</f>
        <v>0</v>
      </c>
      <c r="AQ57" s="62" t="s">
        <v>375</v>
      </c>
      <c r="AV57" s="43">
        <f t="shared" si="80"/>
        <v>0</v>
      </c>
      <c r="AW57" s="43">
        <f t="shared" si="81"/>
        <v>0</v>
      </c>
      <c r="AX57" s="43">
        <f t="shared" si="82"/>
        <v>0</v>
      </c>
      <c r="AY57" s="62" t="s">
        <v>78</v>
      </c>
      <c r="AZ57" s="62" t="s">
        <v>338</v>
      </c>
      <c r="BA57" s="65" t="s">
        <v>275</v>
      </c>
      <c r="BC57" s="43">
        <f t="shared" si="83"/>
        <v>0</v>
      </c>
      <c r="BD57" s="43">
        <f t="shared" si="84"/>
        <v>0</v>
      </c>
      <c r="BE57" s="43">
        <v>0</v>
      </c>
      <c r="BF57" s="43">
        <f>57</f>
        <v>57</v>
      </c>
      <c r="BH57" s="43">
        <f t="shared" si="85"/>
        <v>0</v>
      </c>
      <c r="BI57" s="43">
        <f t="shared" si="86"/>
        <v>0</v>
      </c>
      <c r="BJ57" s="43">
        <f t="shared" si="87"/>
        <v>0</v>
      </c>
      <c r="BK57" s="43"/>
      <c r="BL57" s="43">
        <v>734</v>
      </c>
      <c r="BW57" s="43">
        <v>21</v>
      </c>
    </row>
    <row r="58" spans="1:75" ht="13.5" customHeight="1">
      <c r="A58" s="6" t="s">
        <v>125</v>
      </c>
      <c r="B58" s="25" t="s">
        <v>405</v>
      </c>
      <c r="C58" s="102" t="s">
        <v>191</v>
      </c>
      <c r="D58" s="103"/>
      <c r="E58" s="25" t="s">
        <v>260</v>
      </c>
      <c r="F58" s="15">
        <v>4</v>
      </c>
      <c r="G58" s="75">
        <v>0</v>
      </c>
      <c r="H58" s="15">
        <f t="shared" si="66"/>
        <v>0</v>
      </c>
      <c r="I58" s="15">
        <f t="shared" si="67"/>
        <v>0</v>
      </c>
      <c r="J58" s="15">
        <f t="shared" si="68"/>
        <v>0</v>
      </c>
      <c r="K58" s="22" t="s">
        <v>250</v>
      </c>
      <c r="L58" s="8"/>
      <c r="Z58" s="43">
        <f t="shared" si="69"/>
        <v>0</v>
      </c>
      <c r="AB58" s="43">
        <f t="shared" si="70"/>
        <v>0</v>
      </c>
      <c r="AC58" s="43">
        <f t="shared" si="71"/>
        <v>0</v>
      </c>
      <c r="AD58" s="43">
        <f t="shared" si="72"/>
        <v>0</v>
      </c>
      <c r="AE58" s="43">
        <f t="shared" si="73"/>
        <v>0</v>
      </c>
      <c r="AF58" s="43">
        <f t="shared" si="74"/>
        <v>0</v>
      </c>
      <c r="AG58" s="43">
        <f t="shared" si="75"/>
        <v>0</v>
      </c>
      <c r="AH58" s="43">
        <f t="shared" si="76"/>
        <v>0</v>
      </c>
      <c r="AI58" s="65" t="s">
        <v>255</v>
      </c>
      <c r="AJ58" s="43">
        <f t="shared" si="77"/>
        <v>0</v>
      </c>
      <c r="AK58" s="43">
        <f t="shared" si="78"/>
        <v>0</v>
      </c>
      <c r="AL58" s="43">
        <f t="shared" si="79"/>
        <v>0</v>
      </c>
      <c r="AN58" s="43">
        <v>21</v>
      </c>
      <c r="AO58" s="43">
        <f>G58*1</f>
        <v>0</v>
      </c>
      <c r="AP58" s="43">
        <f>G58*(1-1)</f>
        <v>0</v>
      </c>
      <c r="AQ58" s="62" t="s">
        <v>375</v>
      </c>
      <c r="AV58" s="43">
        <f t="shared" si="80"/>
        <v>0</v>
      </c>
      <c r="AW58" s="43">
        <f t="shared" si="81"/>
        <v>0</v>
      </c>
      <c r="AX58" s="43">
        <f t="shared" si="82"/>
        <v>0</v>
      </c>
      <c r="AY58" s="62" t="s">
        <v>78</v>
      </c>
      <c r="AZ58" s="62" t="s">
        <v>338</v>
      </c>
      <c r="BA58" s="65" t="s">
        <v>275</v>
      </c>
      <c r="BC58" s="43">
        <f t="shared" si="83"/>
        <v>0</v>
      </c>
      <c r="BD58" s="43">
        <f t="shared" si="84"/>
        <v>0</v>
      </c>
      <c r="BE58" s="43">
        <v>0</v>
      </c>
      <c r="BF58" s="43">
        <f>58</f>
        <v>58</v>
      </c>
      <c r="BH58" s="43">
        <f t="shared" si="85"/>
        <v>0</v>
      </c>
      <c r="BI58" s="43">
        <f t="shared" si="86"/>
        <v>0</v>
      </c>
      <c r="BJ58" s="43">
        <f t="shared" si="87"/>
        <v>0</v>
      </c>
      <c r="BK58" s="43"/>
      <c r="BL58" s="43">
        <v>734</v>
      </c>
      <c r="BW58" s="43">
        <v>21</v>
      </c>
    </row>
    <row r="59" spans="1:75" ht="13.5" customHeight="1">
      <c r="A59" s="6" t="s">
        <v>164</v>
      </c>
      <c r="B59" s="25" t="s">
        <v>48</v>
      </c>
      <c r="C59" s="102" t="s">
        <v>126</v>
      </c>
      <c r="D59" s="103"/>
      <c r="E59" s="25" t="s">
        <v>260</v>
      </c>
      <c r="F59" s="15">
        <v>36</v>
      </c>
      <c r="G59" s="75">
        <v>0</v>
      </c>
      <c r="H59" s="15">
        <f t="shared" si="66"/>
        <v>0</v>
      </c>
      <c r="I59" s="15">
        <f t="shared" si="67"/>
        <v>0</v>
      </c>
      <c r="J59" s="15">
        <f t="shared" si="68"/>
        <v>0</v>
      </c>
      <c r="K59" s="22" t="s">
        <v>250</v>
      </c>
      <c r="L59" s="8"/>
      <c r="Z59" s="43">
        <f t="shared" si="69"/>
        <v>0</v>
      </c>
      <c r="AB59" s="43">
        <f t="shared" si="70"/>
        <v>0</v>
      </c>
      <c r="AC59" s="43">
        <f t="shared" si="71"/>
        <v>0</v>
      </c>
      <c r="AD59" s="43">
        <f t="shared" si="72"/>
        <v>0</v>
      </c>
      <c r="AE59" s="43">
        <f t="shared" si="73"/>
        <v>0</v>
      </c>
      <c r="AF59" s="43">
        <f t="shared" si="74"/>
        <v>0</v>
      </c>
      <c r="AG59" s="43">
        <f t="shared" si="75"/>
        <v>0</v>
      </c>
      <c r="AH59" s="43">
        <f t="shared" si="76"/>
        <v>0</v>
      </c>
      <c r="AI59" s="65" t="s">
        <v>255</v>
      </c>
      <c r="AJ59" s="43">
        <f t="shared" si="77"/>
        <v>0</v>
      </c>
      <c r="AK59" s="43">
        <f t="shared" si="78"/>
        <v>0</v>
      </c>
      <c r="AL59" s="43">
        <f t="shared" si="79"/>
        <v>0</v>
      </c>
      <c r="AN59" s="43">
        <v>21</v>
      </c>
      <c r="AO59" s="43">
        <f>G59*1</f>
        <v>0</v>
      </c>
      <c r="AP59" s="43">
        <f>G59*(1-1)</f>
        <v>0</v>
      </c>
      <c r="AQ59" s="62" t="s">
        <v>375</v>
      </c>
      <c r="AV59" s="43">
        <f t="shared" si="80"/>
        <v>0</v>
      </c>
      <c r="AW59" s="43">
        <f t="shared" si="81"/>
        <v>0</v>
      </c>
      <c r="AX59" s="43">
        <f t="shared" si="82"/>
        <v>0</v>
      </c>
      <c r="AY59" s="62" t="s">
        <v>78</v>
      </c>
      <c r="AZ59" s="62" t="s">
        <v>338</v>
      </c>
      <c r="BA59" s="65" t="s">
        <v>275</v>
      </c>
      <c r="BC59" s="43">
        <f t="shared" si="83"/>
        <v>0</v>
      </c>
      <c r="BD59" s="43">
        <f t="shared" si="84"/>
        <v>0</v>
      </c>
      <c r="BE59" s="43">
        <v>0</v>
      </c>
      <c r="BF59" s="43">
        <f>59</f>
        <v>59</v>
      </c>
      <c r="BH59" s="43">
        <f t="shared" si="85"/>
        <v>0</v>
      </c>
      <c r="BI59" s="43">
        <f t="shared" si="86"/>
        <v>0</v>
      </c>
      <c r="BJ59" s="43">
        <f t="shared" si="87"/>
        <v>0</v>
      </c>
      <c r="BK59" s="43"/>
      <c r="BL59" s="43">
        <v>734</v>
      </c>
      <c r="BW59" s="43">
        <v>21</v>
      </c>
    </row>
    <row r="60" spans="1:75" ht="27" customHeight="1">
      <c r="A60" s="6" t="s">
        <v>131</v>
      </c>
      <c r="B60" s="25" t="s">
        <v>198</v>
      </c>
      <c r="C60" s="102" t="s">
        <v>82</v>
      </c>
      <c r="D60" s="103"/>
      <c r="E60" s="25" t="s">
        <v>99</v>
      </c>
      <c r="F60" s="15">
        <v>4</v>
      </c>
      <c r="G60" s="75">
        <v>0</v>
      </c>
      <c r="H60" s="15">
        <f t="shared" si="66"/>
        <v>0</v>
      </c>
      <c r="I60" s="15">
        <f t="shared" si="67"/>
        <v>0</v>
      </c>
      <c r="J60" s="15">
        <f t="shared" si="68"/>
        <v>0</v>
      </c>
      <c r="K60" s="22" t="s">
        <v>250</v>
      </c>
      <c r="L60" s="8"/>
      <c r="Z60" s="43">
        <f t="shared" si="69"/>
        <v>0</v>
      </c>
      <c r="AB60" s="43">
        <f t="shared" si="70"/>
        <v>0</v>
      </c>
      <c r="AC60" s="43">
        <f t="shared" si="71"/>
        <v>0</v>
      </c>
      <c r="AD60" s="43">
        <f t="shared" si="72"/>
        <v>0</v>
      </c>
      <c r="AE60" s="43">
        <f t="shared" si="73"/>
        <v>0</v>
      </c>
      <c r="AF60" s="43">
        <f t="shared" si="74"/>
        <v>0</v>
      </c>
      <c r="AG60" s="43">
        <f t="shared" si="75"/>
        <v>0</v>
      </c>
      <c r="AH60" s="43">
        <f t="shared" si="76"/>
        <v>0</v>
      </c>
      <c r="AI60" s="65" t="s">
        <v>255</v>
      </c>
      <c r="AJ60" s="43">
        <f t="shared" si="77"/>
        <v>0</v>
      </c>
      <c r="AK60" s="43">
        <f t="shared" si="78"/>
        <v>0</v>
      </c>
      <c r="AL60" s="43">
        <f t="shared" si="79"/>
        <v>0</v>
      </c>
      <c r="AN60" s="43">
        <v>21</v>
      </c>
      <c r="AO60" s="43">
        <f>G60*0.0417910447761194</f>
        <v>0</v>
      </c>
      <c r="AP60" s="43">
        <f>G60*(1-0.0417910447761194)</f>
        <v>0</v>
      </c>
      <c r="AQ60" s="62" t="s">
        <v>375</v>
      </c>
      <c r="AV60" s="43">
        <f t="shared" si="80"/>
        <v>0</v>
      </c>
      <c r="AW60" s="43">
        <f t="shared" si="81"/>
        <v>0</v>
      </c>
      <c r="AX60" s="43">
        <f t="shared" si="82"/>
        <v>0</v>
      </c>
      <c r="AY60" s="62" t="s">
        <v>78</v>
      </c>
      <c r="AZ60" s="62" t="s">
        <v>338</v>
      </c>
      <c r="BA60" s="65" t="s">
        <v>275</v>
      </c>
      <c r="BC60" s="43">
        <f t="shared" si="83"/>
        <v>0</v>
      </c>
      <c r="BD60" s="43">
        <f t="shared" si="84"/>
        <v>0</v>
      </c>
      <c r="BE60" s="43">
        <v>0</v>
      </c>
      <c r="BF60" s="43">
        <f>60</f>
        <v>60</v>
      </c>
      <c r="BH60" s="43">
        <f t="shared" si="85"/>
        <v>0</v>
      </c>
      <c r="BI60" s="43">
        <f t="shared" si="86"/>
        <v>0</v>
      </c>
      <c r="BJ60" s="43">
        <f t="shared" si="87"/>
        <v>0</v>
      </c>
      <c r="BK60" s="43"/>
      <c r="BL60" s="43">
        <v>734</v>
      </c>
      <c r="BW60" s="43">
        <v>21</v>
      </c>
    </row>
    <row r="61" spans="1:75" ht="13.5" customHeight="1">
      <c r="A61" s="6" t="s">
        <v>294</v>
      </c>
      <c r="B61" s="25" t="s">
        <v>402</v>
      </c>
      <c r="C61" s="102" t="s">
        <v>232</v>
      </c>
      <c r="D61" s="103"/>
      <c r="E61" s="25" t="s">
        <v>260</v>
      </c>
      <c r="F61" s="15">
        <v>4</v>
      </c>
      <c r="G61" s="75">
        <v>0</v>
      </c>
      <c r="H61" s="15">
        <f t="shared" si="66"/>
        <v>0</v>
      </c>
      <c r="I61" s="15">
        <f t="shared" si="67"/>
        <v>0</v>
      </c>
      <c r="J61" s="15">
        <f t="shared" si="68"/>
        <v>0</v>
      </c>
      <c r="K61" s="22" t="s">
        <v>250</v>
      </c>
      <c r="L61" s="8"/>
      <c r="Z61" s="43">
        <f t="shared" si="69"/>
        <v>0</v>
      </c>
      <c r="AB61" s="43">
        <f t="shared" si="70"/>
        <v>0</v>
      </c>
      <c r="AC61" s="43">
        <f t="shared" si="71"/>
        <v>0</v>
      </c>
      <c r="AD61" s="43">
        <f t="shared" si="72"/>
        <v>0</v>
      </c>
      <c r="AE61" s="43">
        <f t="shared" si="73"/>
        <v>0</v>
      </c>
      <c r="AF61" s="43">
        <f t="shared" si="74"/>
        <v>0</v>
      </c>
      <c r="AG61" s="43">
        <f t="shared" si="75"/>
        <v>0</v>
      </c>
      <c r="AH61" s="43">
        <f t="shared" si="76"/>
        <v>0</v>
      </c>
      <c r="AI61" s="65" t="s">
        <v>255</v>
      </c>
      <c r="AJ61" s="43">
        <f t="shared" si="77"/>
        <v>0</v>
      </c>
      <c r="AK61" s="43">
        <f t="shared" si="78"/>
        <v>0</v>
      </c>
      <c r="AL61" s="43">
        <f t="shared" si="79"/>
        <v>0</v>
      </c>
      <c r="AN61" s="43">
        <v>21</v>
      </c>
      <c r="AO61" s="43">
        <f>G61*1</f>
        <v>0</v>
      </c>
      <c r="AP61" s="43">
        <f>G61*(1-1)</f>
        <v>0</v>
      </c>
      <c r="AQ61" s="62" t="s">
        <v>375</v>
      </c>
      <c r="AV61" s="43">
        <f t="shared" si="80"/>
        <v>0</v>
      </c>
      <c r="AW61" s="43">
        <f t="shared" si="81"/>
        <v>0</v>
      </c>
      <c r="AX61" s="43">
        <f t="shared" si="82"/>
        <v>0</v>
      </c>
      <c r="AY61" s="62" t="s">
        <v>78</v>
      </c>
      <c r="AZ61" s="62" t="s">
        <v>338</v>
      </c>
      <c r="BA61" s="65" t="s">
        <v>275</v>
      </c>
      <c r="BC61" s="43">
        <f t="shared" si="83"/>
        <v>0</v>
      </c>
      <c r="BD61" s="43">
        <f t="shared" si="84"/>
        <v>0</v>
      </c>
      <c r="BE61" s="43">
        <v>0</v>
      </c>
      <c r="BF61" s="43">
        <f>61</f>
        <v>61</v>
      </c>
      <c r="BH61" s="43">
        <f t="shared" si="85"/>
        <v>0</v>
      </c>
      <c r="BI61" s="43">
        <f t="shared" si="86"/>
        <v>0</v>
      </c>
      <c r="BJ61" s="43">
        <f t="shared" si="87"/>
        <v>0</v>
      </c>
      <c r="BK61" s="43"/>
      <c r="BL61" s="43">
        <v>734</v>
      </c>
      <c r="BW61" s="43">
        <v>21</v>
      </c>
    </row>
    <row r="62" spans="1:75" ht="27" customHeight="1">
      <c r="A62" s="6" t="s">
        <v>387</v>
      </c>
      <c r="B62" s="25" t="s">
        <v>70</v>
      </c>
      <c r="C62" s="102" t="s">
        <v>258</v>
      </c>
      <c r="D62" s="103"/>
      <c r="E62" s="25" t="s">
        <v>99</v>
      </c>
      <c r="F62" s="15">
        <v>7</v>
      </c>
      <c r="G62" s="75">
        <v>0</v>
      </c>
      <c r="H62" s="15">
        <f t="shared" si="66"/>
        <v>0</v>
      </c>
      <c r="I62" s="15">
        <f t="shared" si="67"/>
        <v>0</v>
      </c>
      <c r="J62" s="15">
        <f t="shared" si="68"/>
        <v>0</v>
      </c>
      <c r="K62" s="22" t="s">
        <v>250</v>
      </c>
      <c r="L62" s="8"/>
      <c r="Z62" s="43">
        <f t="shared" si="69"/>
        <v>0</v>
      </c>
      <c r="AB62" s="43">
        <f t="shared" si="70"/>
        <v>0</v>
      </c>
      <c r="AC62" s="43">
        <f t="shared" si="71"/>
        <v>0</v>
      </c>
      <c r="AD62" s="43">
        <f t="shared" si="72"/>
        <v>0</v>
      </c>
      <c r="AE62" s="43">
        <f t="shared" si="73"/>
        <v>0</v>
      </c>
      <c r="AF62" s="43">
        <f t="shared" si="74"/>
        <v>0</v>
      </c>
      <c r="AG62" s="43">
        <f t="shared" si="75"/>
        <v>0</v>
      </c>
      <c r="AH62" s="43">
        <f t="shared" si="76"/>
        <v>0</v>
      </c>
      <c r="AI62" s="65" t="s">
        <v>255</v>
      </c>
      <c r="AJ62" s="43">
        <f t="shared" si="77"/>
        <v>0</v>
      </c>
      <c r="AK62" s="43">
        <f t="shared" si="78"/>
        <v>0</v>
      </c>
      <c r="AL62" s="43">
        <f t="shared" si="79"/>
        <v>0</v>
      </c>
      <c r="AN62" s="43">
        <v>21</v>
      </c>
      <c r="AO62" s="43">
        <f>G62*0.059467680608365</f>
        <v>0</v>
      </c>
      <c r="AP62" s="43">
        <f>G62*(1-0.059467680608365)</f>
        <v>0</v>
      </c>
      <c r="AQ62" s="62" t="s">
        <v>375</v>
      </c>
      <c r="AV62" s="43">
        <f t="shared" si="80"/>
        <v>0</v>
      </c>
      <c r="AW62" s="43">
        <f t="shared" si="81"/>
        <v>0</v>
      </c>
      <c r="AX62" s="43">
        <f t="shared" si="82"/>
        <v>0</v>
      </c>
      <c r="AY62" s="62" t="s">
        <v>78</v>
      </c>
      <c r="AZ62" s="62" t="s">
        <v>338</v>
      </c>
      <c r="BA62" s="65" t="s">
        <v>275</v>
      </c>
      <c r="BC62" s="43">
        <f t="shared" si="83"/>
        <v>0</v>
      </c>
      <c r="BD62" s="43">
        <f t="shared" si="84"/>
        <v>0</v>
      </c>
      <c r="BE62" s="43">
        <v>0</v>
      </c>
      <c r="BF62" s="43">
        <f>62</f>
        <v>62</v>
      </c>
      <c r="BH62" s="43">
        <f t="shared" si="85"/>
        <v>0</v>
      </c>
      <c r="BI62" s="43">
        <f t="shared" si="86"/>
        <v>0</v>
      </c>
      <c r="BJ62" s="43">
        <f t="shared" si="87"/>
        <v>0</v>
      </c>
      <c r="BK62" s="43"/>
      <c r="BL62" s="43">
        <v>734</v>
      </c>
      <c r="BW62" s="43">
        <v>21</v>
      </c>
    </row>
    <row r="63" spans="1:75" ht="13.5" customHeight="1">
      <c r="A63" s="53" t="s">
        <v>32</v>
      </c>
      <c r="B63" s="12" t="s">
        <v>403</v>
      </c>
      <c r="C63" s="88" t="s">
        <v>105</v>
      </c>
      <c r="D63" s="83"/>
      <c r="E63" s="12" t="s">
        <v>99</v>
      </c>
      <c r="F63" s="43">
        <v>1</v>
      </c>
      <c r="G63" s="75">
        <v>0</v>
      </c>
      <c r="H63" s="43">
        <f t="shared" si="66"/>
        <v>0</v>
      </c>
      <c r="I63" s="43">
        <f t="shared" si="67"/>
        <v>0</v>
      </c>
      <c r="J63" s="43">
        <f t="shared" si="68"/>
        <v>0</v>
      </c>
      <c r="K63" s="62" t="s">
        <v>250</v>
      </c>
      <c r="L63" s="8"/>
      <c r="Z63" s="43">
        <f t="shared" si="69"/>
        <v>0</v>
      </c>
      <c r="AB63" s="43">
        <f t="shared" si="70"/>
        <v>0</v>
      </c>
      <c r="AC63" s="43">
        <f t="shared" si="71"/>
        <v>0</v>
      </c>
      <c r="AD63" s="43">
        <f t="shared" si="72"/>
        <v>0</v>
      </c>
      <c r="AE63" s="43">
        <f t="shared" si="73"/>
        <v>0</v>
      </c>
      <c r="AF63" s="43">
        <f t="shared" si="74"/>
        <v>0</v>
      </c>
      <c r="AG63" s="43">
        <f t="shared" si="75"/>
        <v>0</v>
      </c>
      <c r="AH63" s="43">
        <f t="shared" si="76"/>
        <v>0</v>
      </c>
      <c r="AI63" s="65" t="s">
        <v>255</v>
      </c>
      <c r="AJ63" s="43">
        <f t="shared" si="77"/>
        <v>0</v>
      </c>
      <c r="AK63" s="43">
        <f t="shared" si="78"/>
        <v>0</v>
      </c>
      <c r="AL63" s="43">
        <f t="shared" si="79"/>
        <v>0</v>
      </c>
      <c r="AN63" s="43">
        <v>21</v>
      </c>
      <c r="AO63" s="43">
        <f>G63*0.774918032786885</f>
        <v>0</v>
      </c>
      <c r="AP63" s="43">
        <f>G63*(1-0.774918032786885)</f>
        <v>0</v>
      </c>
      <c r="AQ63" s="62" t="s">
        <v>375</v>
      </c>
      <c r="AV63" s="43">
        <f t="shared" si="80"/>
        <v>0</v>
      </c>
      <c r="AW63" s="43">
        <f t="shared" si="81"/>
        <v>0</v>
      </c>
      <c r="AX63" s="43">
        <f t="shared" si="82"/>
        <v>0</v>
      </c>
      <c r="AY63" s="62" t="s">
        <v>78</v>
      </c>
      <c r="AZ63" s="62" t="s">
        <v>338</v>
      </c>
      <c r="BA63" s="65" t="s">
        <v>275</v>
      </c>
      <c r="BC63" s="43">
        <f t="shared" si="83"/>
        <v>0</v>
      </c>
      <c r="BD63" s="43">
        <f t="shared" si="84"/>
        <v>0</v>
      </c>
      <c r="BE63" s="43">
        <v>0</v>
      </c>
      <c r="BF63" s="43">
        <f>63</f>
        <v>63</v>
      </c>
      <c r="BH63" s="43">
        <f t="shared" si="85"/>
        <v>0</v>
      </c>
      <c r="BI63" s="43">
        <f t="shared" si="86"/>
        <v>0</v>
      </c>
      <c r="BJ63" s="43">
        <f t="shared" si="87"/>
        <v>0</v>
      </c>
      <c r="BK63" s="43"/>
      <c r="BL63" s="43">
        <v>734</v>
      </c>
      <c r="BW63" s="43">
        <v>21</v>
      </c>
    </row>
    <row r="64" spans="1:75" ht="13.5" customHeight="1">
      <c r="A64" s="53" t="s">
        <v>278</v>
      </c>
      <c r="B64" s="12" t="s">
        <v>415</v>
      </c>
      <c r="C64" s="88" t="s">
        <v>326</v>
      </c>
      <c r="D64" s="83"/>
      <c r="E64" s="12" t="s">
        <v>99</v>
      </c>
      <c r="F64" s="43">
        <v>4</v>
      </c>
      <c r="G64" s="75">
        <v>0</v>
      </c>
      <c r="H64" s="43">
        <f t="shared" si="66"/>
        <v>0</v>
      </c>
      <c r="I64" s="43">
        <f t="shared" si="67"/>
        <v>0</v>
      </c>
      <c r="J64" s="43">
        <f t="shared" si="68"/>
        <v>0</v>
      </c>
      <c r="K64" s="62" t="s">
        <v>250</v>
      </c>
      <c r="L64" s="8"/>
      <c r="Z64" s="43">
        <f t="shared" si="69"/>
        <v>0</v>
      </c>
      <c r="AB64" s="43">
        <f t="shared" si="70"/>
        <v>0</v>
      </c>
      <c r="AC64" s="43">
        <f t="shared" si="71"/>
        <v>0</v>
      </c>
      <c r="AD64" s="43">
        <f t="shared" si="72"/>
        <v>0</v>
      </c>
      <c r="AE64" s="43">
        <f t="shared" si="73"/>
        <v>0</v>
      </c>
      <c r="AF64" s="43">
        <f t="shared" si="74"/>
        <v>0</v>
      </c>
      <c r="AG64" s="43">
        <f t="shared" si="75"/>
        <v>0</v>
      </c>
      <c r="AH64" s="43">
        <f t="shared" si="76"/>
        <v>0</v>
      </c>
      <c r="AI64" s="65" t="s">
        <v>255</v>
      </c>
      <c r="AJ64" s="43">
        <f t="shared" si="77"/>
        <v>0</v>
      </c>
      <c r="AK64" s="43">
        <f t="shared" si="78"/>
        <v>0</v>
      </c>
      <c r="AL64" s="43">
        <f t="shared" si="79"/>
        <v>0</v>
      </c>
      <c r="AN64" s="43">
        <v>21</v>
      </c>
      <c r="AO64" s="43">
        <f>G64*0.823218884120172</f>
        <v>0</v>
      </c>
      <c r="AP64" s="43">
        <f>G64*(1-0.823218884120172)</f>
        <v>0</v>
      </c>
      <c r="AQ64" s="62" t="s">
        <v>375</v>
      </c>
      <c r="AV64" s="43">
        <f t="shared" si="80"/>
        <v>0</v>
      </c>
      <c r="AW64" s="43">
        <f t="shared" si="81"/>
        <v>0</v>
      </c>
      <c r="AX64" s="43">
        <f t="shared" si="82"/>
        <v>0</v>
      </c>
      <c r="AY64" s="62" t="s">
        <v>78</v>
      </c>
      <c r="AZ64" s="62" t="s">
        <v>338</v>
      </c>
      <c r="BA64" s="65" t="s">
        <v>275</v>
      </c>
      <c r="BC64" s="43">
        <f t="shared" si="83"/>
        <v>0</v>
      </c>
      <c r="BD64" s="43">
        <f t="shared" si="84"/>
        <v>0</v>
      </c>
      <c r="BE64" s="43">
        <v>0</v>
      </c>
      <c r="BF64" s="43">
        <f>64</f>
        <v>64</v>
      </c>
      <c r="BH64" s="43">
        <f t="shared" si="85"/>
        <v>0</v>
      </c>
      <c r="BI64" s="43">
        <f t="shared" si="86"/>
        <v>0</v>
      </c>
      <c r="BJ64" s="43">
        <f t="shared" si="87"/>
        <v>0</v>
      </c>
      <c r="BK64" s="43"/>
      <c r="BL64" s="43">
        <v>734</v>
      </c>
      <c r="BW64" s="43">
        <v>21</v>
      </c>
    </row>
    <row r="65" spans="1:75" ht="13.5" customHeight="1">
      <c r="A65" s="53" t="s">
        <v>300</v>
      </c>
      <c r="B65" s="12" t="s">
        <v>391</v>
      </c>
      <c r="C65" s="88" t="s">
        <v>163</v>
      </c>
      <c r="D65" s="83"/>
      <c r="E65" s="12" t="s">
        <v>99</v>
      </c>
      <c r="F65" s="43">
        <v>1</v>
      </c>
      <c r="G65" s="75">
        <v>0</v>
      </c>
      <c r="H65" s="43">
        <f t="shared" si="66"/>
        <v>0</v>
      </c>
      <c r="I65" s="43">
        <f t="shared" si="67"/>
        <v>0</v>
      </c>
      <c r="J65" s="43">
        <f t="shared" si="68"/>
        <v>0</v>
      </c>
      <c r="K65" s="62" t="s">
        <v>250</v>
      </c>
      <c r="L65" s="8"/>
      <c r="Z65" s="43">
        <f t="shared" si="69"/>
        <v>0</v>
      </c>
      <c r="AB65" s="43">
        <f t="shared" si="70"/>
        <v>0</v>
      </c>
      <c r="AC65" s="43">
        <f t="shared" si="71"/>
        <v>0</v>
      </c>
      <c r="AD65" s="43">
        <f t="shared" si="72"/>
        <v>0</v>
      </c>
      <c r="AE65" s="43">
        <f t="shared" si="73"/>
        <v>0</v>
      </c>
      <c r="AF65" s="43">
        <f t="shared" si="74"/>
        <v>0</v>
      </c>
      <c r="AG65" s="43">
        <f t="shared" si="75"/>
        <v>0</v>
      </c>
      <c r="AH65" s="43">
        <f t="shared" si="76"/>
        <v>0</v>
      </c>
      <c r="AI65" s="65" t="s">
        <v>255</v>
      </c>
      <c r="AJ65" s="43">
        <f t="shared" si="77"/>
        <v>0</v>
      </c>
      <c r="AK65" s="43">
        <f t="shared" si="78"/>
        <v>0</v>
      </c>
      <c r="AL65" s="43">
        <f t="shared" si="79"/>
        <v>0</v>
      </c>
      <c r="AN65" s="43">
        <v>21</v>
      </c>
      <c r="AO65" s="43">
        <f>G65*0.767725563909774</f>
        <v>0</v>
      </c>
      <c r="AP65" s="43">
        <f>G65*(1-0.767725563909774)</f>
        <v>0</v>
      </c>
      <c r="AQ65" s="62" t="s">
        <v>375</v>
      </c>
      <c r="AV65" s="43">
        <f t="shared" si="80"/>
        <v>0</v>
      </c>
      <c r="AW65" s="43">
        <f t="shared" si="81"/>
        <v>0</v>
      </c>
      <c r="AX65" s="43">
        <f t="shared" si="82"/>
        <v>0</v>
      </c>
      <c r="AY65" s="62" t="s">
        <v>78</v>
      </c>
      <c r="AZ65" s="62" t="s">
        <v>338</v>
      </c>
      <c r="BA65" s="65" t="s">
        <v>275</v>
      </c>
      <c r="BC65" s="43">
        <f t="shared" si="83"/>
        <v>0</v>
      </c>
      <c r="BD65" s="43">
        <f t="shared" si="84"/>
        <v>0</v>
      </c>
      <c r="BE65" s="43">
        <v>0</v>
      </c>
      <c r="BF65" s="43">
        <f>65</f>
        <v>65</v>
      </c>
      <c r="BH65" s="43">
        <f t="shared" si="85"/>
        <v>0</v>
      </c>
      <c r="BI65" s="43">
        <f t="shared" si="86"/>
        <v>0</v>
      </c>
      <c r="BJ65" s="43">
        <f t="shared" si="87"/>
        <v>0</v>
      </c>
      <c r="BK65" s="43"/>
      <c r="BL65" s="43">
        <v>734</v>
      </c>
      <c r="BW65" s="43">
        <v>21</v>
      </c>
    </row>
    <row r="66" spans="1:75" ht="13.5" customHeight="1">
      <c r="A66" s="53" t="s">
        <v>159</v>
      </c>
      <c r="B66" s="12" t="s">
        <v>60</v>
      </c>
      <c r="C66" s="88" t="s">
        <v>357</v>
      </c>
      <c r="D66" s="83"/>
      <c r="E66" s="12" t="s">
        <v>260</v>
      </c>
      <c r="F66" s="43">
        <v>1</v>
      </c>
      <c r="G66" s="75">
        <v>0</v>
      </c>
      <c r="H66" s="43">
        <f t="shared" si="66"/>
        <v>0</v>
      </c>
      <c r="I66" s="43">
        <f t="shared" si="67"/>
        <v>0</v>
      </c>
      <c r="J66" s="43">
        <f t="shared" si="68"/>
        <v>0</v>
      </c>
      <c r="K66" s="62" t="s">
        <v>250</v>
      </c>
      <c r="L66" s="8"/>
      <c r="Z66" s="43">
        <f t="shared" si="69"/>
        <v>0</v>
      </c>
      <c r="AB66" s="43">
        <f t="shared" si="70"/>
        <v>0</v>
      </c>
      <c r="AC66" s="43">
        <f t="shared" si="71"/>
        <v>0</v>
      </c>
      <c r="AD66" s="43">
        <f t="shared" si="72"/>
        <v>0</v>
      </c>
      <c r="AE66" s="43">
        <f t="shared" si="73"/>
        <v>0</v>
      </c>
      <c r="AF66" s="43">
        <f t="shared" si="74"/>
        <v>0</v>
      </c>
      <c r="AG66" s="43">
        <f t="shared" si="75"/>
        <v>0</v>
      </c>
      <c r="AH66" s="43">
        <f t="shared" si="76"/>
        <v>0</v>
      </c>
      <c r="AI66" s="65" t="s">
        <v>255</v>
      </c>
      <c r="AJ66" s="43">
        <f t="shared" si="77"/>
        <v>0</v>
      </c>
      <c r="AK66" s="43">
        <f t="shared" si="78"/>
        <v>0</v>
      </c>
      <c r="AL66" s="43">
        <f t="shared" si="79"/>
        <v>0</v>
      </c>
      <c r="AN66" s="43">
        <v>21</v>
      </c>
      <c r="AO66" s="43">
        <f>G66*1</f>
        <v>0</v>
      </c>
      <c r="AP66" s="43">
        <f>G66*(1-1)</f>
        <v>0</v>
      </c>
      <c r="AQ66" s="62" t="s">
        <v>375</v>
      </c>
      <c r="AV66" s="43">
        <f t="shared" si="80"/>
        <v>0</v>
      </c>
      <c r="AW66" s="43">
        <f t="shared" si="81"/>
        <v>0</v>
      </c>
      <c r="AX66" s="43">
        <f t="shared" si="82"/>
        <v>0</v>
      </c>
      <c r="AY66" s="62" t="s">
        <v>78</v>
      </c>
      <c r="AZ66" s="62" t="s">
        <v>338</v>
      </c>
      <c r="BA66" s="65" t="s">
        <v>275</v>
      </c>
      <c r="BC66" s="43">
        <f t="shared" si="83"/>
        <v>0</v>
      </c>
      <c r="BD66" s="43">
        <f t="shared" si="84"/>
        <v>0</v>
      </c>
      <c r="BE66" s="43">
        <v>0</v>
      </c>
      <c r="BF66" s="43">
        <f>66</f>
        <v>66</v>
      </c>
      <c r="BH66" s="43">
        <f t="shared" si="85"/>
        <v>0</v>
      </c>
      <c r="BI66" s="43">
        <f t="shared" si="86"/>
        <v>0</v>
      </c>
      <c r="BJ66" s="43">
        <f t="shared" si="87"/>
        <v>0</v>
      </c>
      <c r="BK66" s="43"/>
      <c r="BL66" s="43">
        <v>734</v>
      </c>
      <c r="BW66" s="43">
        <v>21</v>
      </c>
    </row>
    <row r="67" spans="1:75" ht="27" customHeight="1">
      <c r="A67" s="1" t="s">
        <v>157</v>
      </c>
      <c r="B67" s="39" t="s">
        <v>362</v>
      </c>
      <c r="C67" s="102" t="s">
        <v>155</v>
      </c>
      <c r="D67" s="103"/>
      <c r="E67" s="39" t="s">
        <v>99</v>
      </c>
      <c r="F67" s="41">
        <v>14</v>
      </c>
      <c r="G67" s="75">
        <v>0</v>
      </c>
      <c r="H67" s="41">
        <f t="shared" si="66"/>
        <v>0</v>
      </c>
      <c r="I67" s="41">
        <f t="shared" si="67"/>
        <v>0</v>
      </c>
      <c r="J67" s="41">
        <f t="shared" si="68"/>
        <v>0</v>
      </c>
      <c r="K67" s="48" t="s">
        <v>250</v>
      </c>
      <c r="L67" s="8"/>
      <c r="Z67" s="43">
        <f t="shared" si="69"/>
        <v>0</v>
      </c>
      <c r="AB67" s="43">
        <f t="shared" si="70"/>
        <v>0</v>
      </c>
      <c r="AC67" s="43">
        <f t="shared" si="71"/>
        <v>0</v>
      </c>
      <c r="AD67" s="43">
        <f t="shared" si="72"/>
        <v>0</v>
      </c>
      <c r="AE67" s="43">
        <f t="shared" si="73"/>
        <v>0</v>
      </c>
      <c r="AF67" s="43">
        <f t="shared" si="74"/>
        <v>0</v>
      </c>
      <c r="AG67" s="43">
        <f t="shared" si="75"/>
        <v>0</v>
      </c>
      <c r="AH67" s="43">
        <f t="shared" si="76"/>
        <v>0</v>
      </c>
      <c r="AI67" s="65" t="s">
        <v>255</v>
      </c>
      <c r="AJ67" s="43">
        <f t="shared" si="77"/>
        <v>0</v>
      </c>
      <c r="AK67" s="43">
        <f t="shared" si="78"/>
        <v>0</v>
      </c>
      <c r="AL67" s="43">
        <f t="shared" si="79"/>
        <v>0</v>
      </c>
      <c r="AN67" s="43">
        <v>21</v>
      </c>
      <c r="AO67" s="43">
        <f>G67*0.0699512195121951</f>
        <v>0</v>
      </c>
      <c r="AP67" s="43">
        <f>G67*(1-0.0699512195121951)</f>
        <v>0</v>
      </c>
      <c r="AQ67" s="62" t="s">
        <v>375</v>
      </c>
      <c r="AV67" s="43">
        <f t="shared" si="80"/>
        <v>0</v>
      </c>
      <c r="AW67" s="43">
        <f t="shared" si="81"/>
        <v>0</v>
      </c>
      <c r="AX67" s="43">
        <f t="shared" si="82"/>
        <v>0</v>
      </c>
      <c r="AY67" s="62" t="s">
        <v>78</v>
      </c>
      <c r="AZ67" s="62" t="s">
        <v>338</v>
      </c>
      <c r="BA67" s="65" t="s">
        <v>275</v>
      </c>
      <c r="BC67" s="43">
        <f t="shared" si="83"/>
        <v>0</v>
      </c>
      <c r="BD67" s="43">
        <f t="shared" si="84"/>
        <v>0</v>
      </c>
      <c r="BE67" s="43">
        <v>0</v>
      </c>
      <c r="BF67" s="43">
        <f>67</f>
        <v>67</v>
      </c>
      <c r="BH67" s="43">
        <f t="shared" si="85"/>
        <v>0</v>
      </c>
      <c r="BI67" s="43">
        <f t="shared" si="86"/>
        <v>0</v>
      </c>
      <c r="BJ67" s="43">
        <f t="shared" si="87"/>
        <v>0</v>
      </c>
      <c r="BK67" s="43"/>
      <c r="BL67" s="43">
        <v>734</v>
      </c>
      <c r="BW67" s="43">
        <v>21</v>
      </c>
    </row>
    <row r="68" spans="1:75" ht="13.5" customHeight="1">
      <c r="A68" s="53" t="s">
        <v>174</v>
      </c>
      <c r="B68" s="12" t="s">
        <v>385</v>
      </c>
      <c r="C68" s="88" t="s">
        <v>136</v>
      </c>
      <c r="D68" s="83"/>
      <c r="E68" s="12" t="s">
        <v>99</v>
      </c>
      <c r="F68" s="43">
        <v>2</v>
      </c>
      <c r="G68" s="75">
        <v>0</v>
      </c>
      <c r="H68" s="43">
        <f t="shared" si="66"/>
        <v>0</v>
      </c>
      <c r="I68" s="43">
        <f t="shared" si="67"/>
        <v>0</v>
      </c>
      <c r="J68" s="43">
        <f t="shared" si="68"/>
        <v>0</v>
      </c>
      <c r="K68" s="62" t="s">
        <v>250</v>
      </c>
      <c r="L68" s="8"/>
      <c r="Z68" s="43">
        <f t="shared" si="69"/>
        <v>0</v>
      </c>
      <c r="AB68" s="43">
        <f t="shared" si="70"/>
        <v>0</v>
      </c>
      <c r="AC68" s="43">
        <f t="shared" si="71"/>
        <v>0</v>
      </c>
      <c r="AD68" s="43">
        <f t="shared" si="72"/>
        <v>0</v>
      </c>
      <c r="AE68" s="43">
        <f t="shared" si="73"/>
        <v>0</v>
      </c>
      <c r="AF68" s="43">
        <f t="shared" si="74"/>
        <v>0</v>
      </c>
      <c r="AG68" s="43">
        <f t="shared" si="75"/>
        <v>0</v>
      </c>
      <c r="AH68" s="43">
        <f t="shared" si="76"/>
        <v>0</v>
      </c>
      <c r="AI68" s="65" t="s">
        <v>255</v>
      </c>
      <c r="AJ68" s="43">
        <f t="shared" si="77"/>
        <v>0</v>
      </c>
      <c r="AK68" s="43">
        <f t="shared" si="78"/>
        <v>0</v>
      </c>
      <c r="AL68" s="43">
        <f t="shared" si="79"/>
        <v>0</v>
      </c>
      <c r="AN68" s="43">
        <v>21</v>
      </c>
      <c r="AO68" s="43">
        <f>G68*0.845412621359223</f>
        <v>0</v>
      </c>
      <c r="AP68" s="43">
        <f>G68*(1-0.845412621359223)</f>
        <v>0</v>
      </c>
      <c r="AQ68" s="62" t="s">
        <v>375</v>
      </c>
      <c r="AV68" s="43">
        <f t="shared" si="80"/>
        <v>0</v>
      </c>
      <c r="AW68" s="43">
        <f t="shared" si="81"/>
        <v>0</v>
      </c>
      <c r="AX68" s="43">
        <f t="shared" si="82"/>
        <v>0</v>
      </c>
      <c r="AY68" s="62" t="s">
        <v>78</v>
      </c>
      <c r="AZ68" s="62" t="s">
        <v>338</v>
      </c>
      <c r="BA68" s="65" t="s">
        <v>275</v>
      </c>
      <c r="BC68" s="43">
        <f t="shared" si="83"/>
        <v>0</v>
      </c>
      <c r="BD68" s="43">
        <f t="shared" si="84"/>
        <v>0</v>
      </c>
      <c r="BE68" s="43">
        <v>0</v>
      </c>
      <c r="BF68" s="43">
        <f>68</f>
        <v>68</v>
      </c>
      <c r="BH68" s="43">
        <f t="shared" si="85"/>
        <v>0</v>
      </c>
      <c r="BI68" s="43">
        <f t="shared" si="86"/>
        <v>0</v>
      </c>
      <c r="BJ68" s="43">
        <f t="shared" si="87"/>
        <v>0</v>
      </c>
      <c r="BK68" s="43"/>
      <c r="BL68" s="43">
        <v>734</v>
      </c>
      <c r="BW68" s="43">
        <v>21</v>
      </c>
    </row>
    <row r="69" spans="1:75" ht="13.5" customHeight="1">
      <c r="A69" s="53" t="s">
        <v>343</v>
      </c>
      <c r="B69" s="12" t="s">
        <v>371</v>
      </c>
      <c r="C69" s="88" t="s">
        <v>312</v>
      </c>
      <c r="D69" s="83"/>
      <c r="E69" s="12" t="s">
        <v>99</v>
      </c>
      <c r="F69" s="43">
        <v>2</v>
      </c>
      <c r="G69" s="75">
        <v>0</v>
      </c>
      <c r="H69" s="43">
        <f t="shared" si="66"/>
        <v>0</v>
      </c>
      <c r="I69" s="43">
        <f t="shared" si="67"/>
        <v>0</v>
      </c>
      <c r="J69" s="43">
        <f t="shared" si="68"/>
        <v>0</v>
      </c>
      <c r="K69" s="62" t="s">
        <v>250</v>
      </c>
      <c r="L69" s="8"/>
      <c r="Z69" s="43">
        <f t="shared" si="69"/>
        <v>0</v>
      </c>
      <c r="AB69" s="43">
        <f t="shared" si="70"/>
        <v>0</v>
      </c>
      <c r="AC69" s="43">
        <f t="shared" si="71"/>
        <v>0</v>
      </c>
      <c r="AD69" s="43">
        <f t="shared" si="72"/>
        <v>0</v>
      </c>
      <c r="AE69" s="43">
        <f t="shared" si="73"/>
        <v>0</v>
      </c>
      <c r="AF69" s="43">
        <f t="shared" si="74"/>
        <v>0</v>
      </c>
      <c r="AG69" s="43">
        <f t="shared" si="75"/>
        <v>0</v>
      </c>
      <c r="AH69" s="43">
        <f t="shared" si="76"/>
        <v>0</v>
      </c>
      <c r="AI69" s="65" t="s">
        <v>255</v>
      </c>
      <c r="AJ69" s="43">
        <f t="shared" si="77"/>
        <v>0</v>
      </c>
      <c r="AK69" s="43">
        <f t="shared" si="78"/>
        <v>0</v>
      </c>
      <c r="AL69" s="43">
        <f t="shared" si="79"/>
        <v>0</v>
      </c>
      <c r="AN69" s="43">
        <v>21</v>
      </c>
      <c r="AO69" s="43">
        <f>G69*0.820084745762712</f>
        <v>0</v>
      </c>
      <c r="AP69" s="43">
        <f>G69*(1-0.820084745762712)</f>
        <v>0</v>
      </c>
      <c r="AQ69" s="62" t="s">
        <v>375</v>
      </c>
      <c r="AV69" s="43">
        <f t="shared" si="80"/>
        <v>0</v>
      </c>
      <c r="AW69" s="43">
        <f t="shared" si="81"/>
        <v>0</v>
      </c>
      <c r="AX69" s="43">
        <f t="shared" si="82"/>
        <v>0</v>
      </c>
      <c r="AY69" s="62" t="s">
        <v>78</v>
      </c>
      <c r="AZ69" s="62" t="s">
        <v>338</v>
      </c>
      <c r="BA69" s="65" t="s">
        <v>275</v>
      </c>
      <c r="BC69" s="43">
        <f t="shared" si="83"/>
        <v>0</v>
      </c>
      <c r="BD69" s="43">
        <f t="shared" si="84"/>
        <v>0</v>
      </c>
      <c r="BE69" s="43">
        <v>0</v>
      </c>
      <c r="BF69" s="43">
        <f>69</f>
        <v>69</v>
      </c>
      <c r="BH69" s="43">
        <f t="shared" si="85"/>
        <v>0</v>
      </c>
      <c r="BI69" s="43">
        <f t="shared" si="86"/>
        <v>0</v>
      </c>
      <c r="BJ69" s="43">
        <f t="shared" si="87"/>
        <v>0</v>
      </c>
      <c r="BK69" s="43"/>
      <c r="BL69" s="43">
        <v>734</v>
      </c>
      <c r="BW69" s="43">
        <v>21</v>
      </c>
    </row>
    <row r="70" spans="1:75" ht="13.5" customHeight="1">
      <c r="A70" s="53" t="s">
        <v>242</v>
      </c>
      <c r="B70" s="12" t="s">
        <v>158</v>
      </c>
      <c r="C70" s="88" t="s">
        <v>35</v>
      </c>
      <c r="D70" s="83"/>
      <c r="E70" s="12" t="s">
        <v>99</v>
      </c>
      <c r="F70" s="43">
        <v>8</v>
      </c>
      <c r="G70" s="75">
        <v>0</v>
      </c>
      <c r="H70" s="43">
        <f t="shared" si="66"/>
        <v>0</v>
      </c>
      <c r="I70" s="43">
        <f t="shared" si="67"/>
        <v>0</v>
      </c>
      <c r="J70" s="43">
        <f t="shared" si="68"/>
        <v>0</v>
      </c>
      <c r="K70" s="62" t="s">
        <v>250</v>
      </c>
      <c r="L70" s="8"/>
      <c r="Z70" s="43">
        <f t="shared" si="69"/>
        <v>0</v>
      </c>
      <c r="AB70" s="43">
        <f t="shared" si="70"/>
        <v>0</v>
      </c>
      <c r="AC70" s="43">
        <f t="shared" si="71"/>
        <v>0</v>
      </c>
      <c r="AD70" s="43">
        <f t="shared" si="72"/>
        <v>0</v>
      </c>
      <c r="AE70" s="43">
        <f t="shared" si="73"/>
        <v>0</v>
      </c>
      <c r="AF70" s="43">
        <f t="shared" si="74"/>
        <v>0</v>
      </c>
      <c r="AG70" s="43">
        <f t="shared" si="75"/>
        <v>0</v>
      </c>
      <c r="AH70" s="43">
        <f t="shared" si="76"/>
        <v>0</v>
      </c>
      <c r="AI70" s="65" t="s">
        <v>255</v>
      </c>
      <c r="AJ70" s="43">
        <f t="shared" si="77"/>
        <v>0</v>
      </c>
      <c r="AK70" s="43">
        <f t="shared" si="78"/>
        <v>0</v>
      </c>
      <c r="AL70" s="43">
        <f t="shared" si="79"/>
        <v>0</v>
      </c>
      <c r="AN70" s="43">
        <v>21</v>
      </c>
      <c r="AO70" s="43">
        <f>G70*0.863326180257511</f>
        <v>0</v>
      </c>
      <c r="AP70" s="43">
        <f>G70*(1-0.863326180257511)</f>
        <v>0</v>
      </c>
      <c r="AQ70" s="62" t="s">
        <v>375</v>
      </c>
      <c r="AV70" s="43">
        <f t="shared" si="80"/>
        <v>0</v>
      </c>
      <c r="AW70" s="43">
        <f t="shared" si="81"/>
        <v>0</v>
      </c>
      <c r="AX70" s="43">
        <f t="shared" si="82"/>
        <v>0</v>
      </c>
      <c r="AY70" s="62" t="s">
        <v>78</v>
      </c>
      <c r="AZ70" s="62" t="s">
        <v>338</v>
      </c>
      <c r="BA70" s="65" t="s">
        <v>275</v>
      </c>
      <c r="BC70" s="43">
        <f t="shared" si="83"/>
        <v>0</v>
      </c>
      <c r="BD70" s="43">
        <f t="shared" si="84"/>
        <v>0</v>
      </c>
      <c r="BE70" s="43">
        <v>0</v>
      </c>
      <c r="BF70" s="43">
        <f>70</f>
        <v>70</v>
      </c>
      <c r="BH70" s="43">
        <f t="shared" si="85"/>
        <v>0</v>
      </c>
      <c r="BI70" s="43">
        <f t="shared" si="86"/>
        <v>0</v>
      </c>
      <c r="BJ70" s="43">
        <f t="shared" si="87"/>
        <v>0</v>
      </c>
      <c r="BK70" s="43"/>
      <c r="BL70" s="43">
        <v>734</v>
      </c>
      <c r="BW70" s="43">
        <v>21</v>
      </c>
    </row>
    <row r="71" spans="1:75" ht="13.5" customHeight="1">
      <c r="A71" s="53" t="s">
        <v>226</v>
      </c>
      <c r="B71" s="12" t="s">
        <v>342</v>
      </c>
      <c r="C71" s="88" t="s">
        <v>301</v>
      </c>
      <c r="D71" s="83"/>
      <c r="E71" s="12" t="s">
        <v>260</v>
      </c>
      <c r="F71" s="43">
        <v>2</v>
      </c>
      <c r="G71" s="75">
        <v>0</v>
      </c>
      <c r="H71" s="43">
        <f t="shared" si="66"/>
        <v>0</v>
      </c>
      <c r="I71" s="43">
        <f t="shared" si="67"/>
        <v>0</v>
      </c>
      <c r="J71" s="43">
        <f t="shared" si="68"/>
        <v>0</v>
      </c>
      <c r="K71" s="62" t="s">
        <v>250</v>
      </c>
      <c r="L71" s="8"/>
      <c r="Z71" s="43">
        <f t="shared" si="69"/>
        <v>0</v>
      </c>
      <c r="AB71" s="43">
        <f t="shared" si="70"/>
        <v>0</v>
      </c>
      <c r="AC71" s="43">
        <f t="shared" si="71"/>
        <v>0</v>
      </c>
      <c r="AD71" s="43">
        <f t="shared" si="72"/>
        <v>0</v>
      </c>
      <c r="AE71" s="43">
        <f t="shared" si="73"/>
        <v>0</v>
      </c>
      <c r="AF71" s="43">
        <f t="shared" si="74"/>
        <v>0</v>
      </c>
      <c r="AG71" s="43">
        <f t="shared" si="75"/>
        <v>0</v>
      </c>
      <c r="AH71" s="43">
        <f t="shared" si="76"/>
        <v>0</v>
      </c>
      <c r="AI71" s="65" t="s">
        <v>255</v>
      </c>
      <c r="AJ71" s="43">
        <f t="shared" si="77"/>
        <v>0</v>
      </c>
      <c r="AK71" s="43">
        <f t="shared" si="78"/>
        <v>0</v>
      </c>
      <c r="AL71" s="43">
        <f t="shared" si="79"/>
        <v>0</v>
      </c>
      <c r="AN71" s="43">
        <v>21</v>
      </c>
      <c r="AO71" s="43">
        <f>G71*1</f>
        <v>0</v>
      </c>
      <c r="AP71" s="43">
        <f>G71*(1-1)</f>
        <v>0</v>
      </c>
      <c r="AQ71" s="62" t="s">
        <v>375</v>
      </c>
      <c r="AV71" s="43">
        <f t="shared" si="80"/>
        <v>0</v>
      </c>
      <c r="AW71" s="43">
        <f t="shared" si="81"/>
        <v>0</v>
      </c>
      <c r="AX71" s="43">
        <f t="shared" si="82"/>
        <v>0</v>
      </c>
      <c r="AY71" s="62" t="s">
        <v>78</v>
      </c>
      <c r="AZ71" s="62" t="s">
        <v>338</v>
      </c>
      <c r="BA71" s="65" t="s">
        <v>275</v>
      </c>
      <c r="BC71" s="43">
        <f t="shared" si="83"/>
        <v>0</v>
      </c>
      <c r="BD71" s="43">
        <f t="shared" si="84"/>
        <v>0</v>
      </c>
      <c r="BE71" s="43">
        <v>0</v>
      </c>
      <c r="BF71" s="43">
        <f>71</f>
        <v>71</v>
      </c>
      <c r="BH71" s="43">
        <f t="shared" si="85"/>
        <v>0</v>
      </c>
      <c r="BI71" s="43">
        <f t="shared" si="86"/>
        <v>0</v>
      </c>
      <c r="BJ71" s="43">
        <f t="shared" si="87"/>
        <v>0</v>
      </c>
      <c r="BK71" s="43"/>
      <c r="BL71" s="43">
        <v>734</v>
      </c>
      <c r="BW71" s="43">
        <v>21</v>
      </c>
    </row>
    <row r="72" spans="1:75" ht="27" customHeight="1">
      <c r="A72" s="1" t="s">
        <v>352</v>
      </c>
      <c r="B72" s="39" t="s">
        <v>178</v>
      </c>
      <c r="C72" s="102" t="s">
        <v>334</v>
      </c>
      <c r="D72" s="103"/>
      <c r="E72" s="39" t="s">
        <v>99</v>
      </c>
      <c r="F72" s="41">
        <v>17</v>
      </c>
      <c r="G72" s="75">
        <v>0</v>
      </c>
      <c r="H72" s="41">
        <f t="shared" si="66"/>
        <v>0</v>
      </c>
      <c r="I72" s="41">
        <f t="shared" si="67"/>
        <v>0</v>
      </c>
      <c r="J72" s="41">
        <f t="shared" si="68"/>
        <v>0</v>
      </c>
      <c r="K72" s="48" t="s">
        <v>250</v>
      </c>
      <c r="L72" s="8"/>
      <c r="Z72" s="43">
        <f t="shared" si="69"/>
        <v>0</v>
      </c>
      <c r="AB72" s="43">
        <f t="shared" si="70"/>
        <v>0</v>
      </c>
      <c r="AC72" s="43">
        <f t="shared" si="71"/>
        <v>0</v>
      </c>
      <c r="AD72" s="43">
        <f t="shared" si="72"/>
        <v>0</v>
      </c>
      <c r="AE72" s="43">
        <f t="shared" si="73"/>
        <v>0</v>
      </c>
      <c r="AF72" s="43">
        <f t="shared" si="74"/>
        <v>0</v>
      </c>
      <c r="AG72" s="43">
        <f t="shared" si="75"/>
        <v>0</v>
      </c>
      <c r="AH72" s="43">
        <f t="shared" si="76"/>
        <v>0</v>
      </c>
      <c r="AI72" s="65" t="s">
        <v>255</v>
      </c>
      <c r="AJ72" s="43">
        <f t="shared" si="77"/>
        <v>0</v>
      </c>
      <c r="AK72" s="43">
        <f t="shared" si="78"/>
        <v>0</v>
      </c>
      <c r="AL72" s="43">
        <f t="shared" si="79"/>
        <v>0</v>
      </c>
      <c r="AN72" s="43">
        <v>21</v>
      </c>
      <c r="AO72" s="43">
        <f>G72*0.0973635613531885</f>
        <v>0</v>
      </c>
      <c r="AP72" s="43">
        <f>G72*(1-0.0973635613531885)</f>
        <v>0</v>
      </c>
      <c r="AQ72" s="62" t="s">
        <v>375</v>
      </c>
      <c r="AV72" s="43">
        <f t="shared" si="80"/>
        <v>0</v>
      </c>
      <c r="AW72" s="43">
        <f t="shared" si="81"/>
        <v>0</v>
      </c>
      <c r="AX72" s="43">
        <f t="shared" si="82"/>
        <v>0</v>
      </c>
      <c r="AY72" s="62" t="s">
        <v>78</v>
      </c>
      <c r="AZ72" s="62" t="s">
        <v>338</v>
      </c>
      <c r="BA72" s="65" t="s">
        <v>275</v>
      </c>
      <c r="BC72" s="43">
        <f t="shared" si="83"/>
        <v>0</v>
      </c>
      <c r="BD72" s="43">
        <f t="shared" si="84"/>
        <v>0</v>
      </c>
      <c r="BE72" s="43">
        <v>0</v>
      </c>
      <c r="BF72" s="43">
        <f>72</f>
        <v>72</v>
      </c>
      <c r="BH72" s="43">
        <f t="shared" si="85"/>
        <v>0</v>
      </c>
      <c r="BI72" s="43">
        <f t="shared" si="86"/>
        <v>0</v>
      </c>
      <c r="BJ72" s="43">
        <f t="shared" si="87"/>
        <v>0</v>
      </c>
      <c r="BK72" s="43"/>
      <c r="BL72" s="43">
        <v>734</v>
      </c>
      <c r="BW72" s="43">
        <v>21</v>
      </c>
    </row>
    <row r="73" spans="1:75" ht="13.5" customHeight="1">
      <c r="A73" s="53" t="s">
        <v>210</v>
      </c>
      <c r="B73" s="12" t="s">
        <v>103</v>
      </c>
      <c r="C73" s="88" t="s">
        <v>266</v>
      </c>
      <c r="D73" s="83"/>
      <c r="E73" s="12" t="s">
        <v>99</v>
      </c>
      <c r="F73" s="43">
        <v>2</v>
      </c>
      <c r="G73" s="75">
        <v>0</v>
      </c>
      <c r="H73" s="43">
        <f t="shared" si="66"/>
        <v>0</v>
      </c>
      <c r="I73" s="43">
        <f t="shared" si="67"/>
        <v>0</v>
      </c>
      <c r="J73" s="43">
        <f t="shared" si="68"/>
        <v>0</v>
      </c>
      <c r="K73" s="62" t="s">
        <v>250</v>
      </c>
      <c r="L73" s="8"/>
      <c r="Z73" s="43">
        <f t="shared" si="69"/>
        <v>0</v>
      </c>
      <c r="AB73" s="43">
        <f t="shared" si="70"/>
        <v>0</v>
      </c>
      <c r="AC73" s="43">
        <f t="shared" si="71"/>
        <v>0</v>
      </c>
      <c r="AD73" s="43">
        <f t="shared" si="72"/>
        <v>0</v>
      </c>
      <c r="AE73" s="43">
        <f t="shared" si="73"/>
        <v>0</v>
      </c>
      <c r="AF73" s="43">
        <f t="shared" si="74"/>
        <v>0</v>
      </c>
      <c r="AG73" s="43">
        <f t="shared" si="75"/>
        <v>0</v>
      </c>
      <c r="AH73" s="43">
        <f t="shared" si="76"/>
        <v>0</v>
      </c>
      <c r="AI73" s="65" t="s">
        <v>255</v>
      </c>
      <c r="AJ73" s="43">
        <f t="shared" si="77"/>
        <v>0</v>
      </c>
      <c r="AK73" s="43">
        <f t="shared" si="78"/>
        <v>0</v>
      </c>
      <c r="AL73" s="43">
        <f t="shared" si="79"/>
        <v>0</v>
      </c>
      <c r="AN73" s="43">
        <v>21</v>
      </c>
      <c r="AO73" s="43">
        <f>G73*0.875913311361889</f>
        <v>0</v>
      </c>
      <c r="AP73" s="43">
        <f>G73*(1-0.875913311361889)</f>
        <v>0</v>
      </c>
      <c r="AQ73" s="62" t="s">
        <v>375</v>
      </c>
      <c r="AV73" s="43">
        <f t="shared" si="80"/>
        <v>0</v>
      </c>
      <c r="AW73" s="43">
        <f t="shared" si="81"/>
        <v>0</v>
      </c>
      <c r="AX73" s="43">
        <f t="shared" si="82"/>
        <v>0</v>
      </c>
      <c r="AY73" s="62" t="s">
        <v>78</v>
      </c>
      <c r="AZ73" s="62" t="s">
        <v>338</v>
      </c>
      <c r="BA73" s="65" t="s">
        <v>275</v>
      </c>
      <c r="BC73" s="43">
        <f t="shared" si="83"/>
        <v>0</v>
      </c>
      <c r="BD73" s="43">
        <f t="shared" si="84"/>
        <v>0</v>
      </c>
      <c r="BE73" s="43">
        <v>0</v>
      </c>
      <c r="BF73" s="43">
        <f>73</f>
        <v>73</v>
      </c>
      <c r="BH73" s="43">
        <f t="shared" si="85"/>
        <v>0</v>
      </c>
      <c r="BI73" s="43">
        <f t="shared" si="86"/>
        <v>0</v>
      </c>
      <c r="BJ73" s="43">
        <f t="shared" si="87"/>
        <v>0</v>
      </c>
      <c r="BK73" s="43"/>
      <c r="BL73" s="43">
        <v>734</v>
      </c>
      <c r="BW73" s="43">
        <v>21</v>
      </c>
    </row>
    <row r="74" spans="1:75" ht="13.5" customHeight="1">
      <c r="A74" s="53" t="s">
        <v>169</v>
      </c>
      <c r="B74" s="12" t="s">
        <v>346</v>
      </c>
      <c r="C74" s="88" t="s">
        <v>95</v>
      </c>
      <c r="D74" s="83"/>
      <c r="E74" s="12" t="s">
        <v>99</v>
      </c>
      <c r="F74" s="43">
        <v>2</v>
      </c>
      <c r="G74" s="75">
        <v>0</v>
      </c>
      <c r="H74" s="43">
        <f t="shared" si="66"/>
        <v>0</v>
      </c>
      <c r="I74" s="43">
        <f t="shared" si="67"/>
        <v>0</v>
      </c>
      <c r="J74" s="43">
        <f t="shared" si="68"/>
        <v>0</v>
      </c>
      <c r="K74" s="62" t="s">
        <v>250</v>
      </c>
      <c r="L74" s="8"/>
      <c r="Z74" s="43">
        <f t="shared" si="69"/>
        <v>0</v>
      </c>
      <c r="AB74" s="43">
        <f t="shared" si="70"/>
        <v>0</v>
      </c>
      <c r="AC74" s="43">
        <f t="shared" si="71"/>
        <v>0</v>
      </c>
      <c r="AD74" s="43">
        <f t="shared" si="72"/>
        <v>0</v>
      </c>
      <c r="AE74" s="43">
        <f t="shared" si="73"/>
        <v>0</v>
      </c>
      <c r="AF74" s="43">
        <f t="shared" si="74"/>
        <v>0</v>
      </c>
      <c r="AG74" s="43">
        <f t="shared" si="75"/>
        <v>0</v>
      </c>
      <c r="AH74" s="43">
        <f t="shared" si="76"/>
        <v>0</v>
      </c>
      <c r="AI74" s="65" t="s">
        <v>255</v>
      </c>
      <c r="AJ74" s="43">
        <f t="shared" si="77"/>
        <v>0</v>
      </c>
      <c r="AK74" s="43">
        <f t="shared" si="78"/>
        <v>0</v>
      </c>
      <c r="AL74" s="43">
        <f t="shared" si="79"/>
        <v>0</v>
      </c>
      <c r="AN74" s="43">
        <v>21</v>
      </c>
      <c r="AO74" s="43">
        <f>G74*0.847454378416249</f>
        <v>0</v>
      </c>
      <c r="AP74" s="43">
        <f>G74*(1-0.847454378416249)</f>
        <v>0</v>
      </c>
      <c r="AQ74" s="62" t="s">
        <v>375</v>
      </c>
      <c r="AV74" s="43">
        <f t="shared" si="80"/>
        <v>0</v>
      </c>
      <c r="AW74" s="43">
        <f t="shared" si="81"/>
        <v>0</v>
      </c>
      <c r="AX74" s="43">
        <f t="shared" si="82"/>
        <v>0</v>
      </c>
      <c r="AY74" s="62" t="s">
        <v>78</v>
      </c>
      <c r="AZ74" s="62" t="s">
        <v>338</v>
      </c>
      <c r="BA74" s="65" t="s">
        <v>275</v>
      </c>
      <c r="BC74" s="43">
        <f t="shared" si="83"/>
        <v>0</v>
      </c>
      <c r="BD74" s="43">
        <f t="shared" si="84"/>
        <v>0</v>
      </c>
      <c r="BE74" s="43">
        <v>0</v>
      </c>
      <c r="BF74" s="43">
        <f>74</f>
        <v>74</v>
      </c>
      <c r="BH74" s="43">
        <f t="shared" si="85"/>
        <v>0</v>
      </c>
      <c r="BI74" s="43">
        <f t="shared" si="86"/>
        <v>0</v>
      </c>
      <c r="BJ74" s="43">
        <f t="shared" si="87"/>
        <v>0</v>
      </c>
      <c r="BK74" s="43"/>
      <c r="BL74" s="43">
        <v>734</v>
      </c>
      <c r="BW74" s="43">
        <v>21</v>
      </c>
    </row>
    <row r="75" spans="1:75" ht="13.5" customHeight="1">
      <c r="A75" s="53" t="s">
        <v>52</v>
      </c>
      <c r="B75" s="12" t="s">
        <v>176</v>
      </c>
      <c r="C75" s="88" t="s">
        <v>230</v>
      </c>
      <c r="D75" s="83"/>
      <c r="E75" s="12" t="s">
        <v>99</v>
      </c>
      <c r="F75" s="43">
        <v>8</v>
      </c>
      <c r="G75" s="75">
        <v>0</v>
      </c>
      <c r="H75" s="43">
        <f t="shared" si="66"/>
        <v>0</v>
      </c>
      <c r="I75" s="43">
        <f t="shared" si="67"/>
        <v>0</v>
      </c>
      <c r="J75" s="43">
        <f t="shared" si="68"/>
        <v>0</v>
      </c>
      <c r="K75" s="62" t="s">
        <v>250</v>
      </c>
      <c r="L75" s="8"/>
      <c r="Z75" s="43">
        <f t="shared" si="69"/>
        <v>0</v>
      </c>
      <c r="AB75" s="43">
        <f t="shared" si="70"/>
        <v>0</v>
      </c>
      <c r="AC75" s="43">
        <f t="shared" si="71"/>
        <v>0</v>
      </c>
      <c r="AD75" s="43">
        <f t="shared" si="72"/>
        <v>0</v>
      </c>
      <c r="AE75" s="43">
        <f t="shared" si="73"/>
        <v>0</v>
      </c>
      <c r="AF75" s="43">
        <f t="shared" si="74"/>
        <v>0</v>
      </c>
      <c r="AG75" s="43">
        <f t="shared" si="75"/>
        <v>0</v>
      </c>
      <c r="AH75" s="43">
        <f t="shared" si="76"/>
        <v>0</v>
      </c>
      <c r="AI75" s="65" t="s">
        <v>255</v>
      </c>
      <c r="AJ75" s="43">
        <f t="shared" si="77"/>
        <v>0</v>
      </c>
      <c r="AK75" s="43">
        <f t="shared" si="78"/>
        <v>0</v>
      </c>
      <c r="AL75" s="43">
        <f t="shared" si="79"/>
        <v>0</v>
      </c>
      <c r="AN75" s="43">
        <v>21</v>
      </c>
      <c r="AO75" s="43">
        <f>G75*0.889037928066962</f>
        <v>0</v>
      </c>
      <c r="AP75" s="43">
        <f>G75*(1-0.889037928066962)</f>
        <v>0</v>
      </c>
      <c r="AQ75" s="62" t="s">
        <v>375</v>
      </c>
      <c r="AV75" s="43">
        <f t="shared" si="80"/>
        <v>0</v>
      </c>
      <c r="AW75" s="43">
        <f t="shared" si="81"/>
        <v>0</v>
      </c>
      <c r="AX75" s="43">
        <f t="shared" si="82"/>
        <v>0</v>
      </c>
      <c r="AY75" s="62" t="s">
        <v>78</v>
      </c>
      <c r="AZ75" s="62" t="s">
        <v>338</v>
      </c>
      <c r="BA75" s="65" t="s">
        <v>275</v>
      </c>
      <c r="BC75" s="43">
        <f t="shared" si="83"/>
        <v>0</v>
      </c>
      <c r="BD75" s="43">
        <f t="shared" si="84"/>
        <v>0</v>
      </c>
      <c r="BE75" s="43">
        <v>0</v>
      </c>
      <c r="BF75" s="43">
        <f>75</f>
        <v>75</v>
      </c>
      <c r="BH75" s="43">
        <f t="shared" si="85"/>
        <v>0</v>
      </c>
      <c r="BI75" s="43">
        <f t="shared" si="86"/>
        <v>0</v>
      </c>
      <c r="BJ75" s="43">
        <f t="shared" si="87"/>
        <v>0</v>
      </c>
      <c r="BK75" s="43"/>
      <c r="BL75" s="43">
        <v>734</v>
      </c>
      <c r="BW75" s="43">
        <v>21</v>
      </c>
    </row>
    <row r="76" spans="1:75" ht="13.5" customHeight="1">
      <c r="A76" s="1" t="s">
        <v>265</v>
      </c>
      <c r="B76" s="39" t="s">
        <v>288</v>
      </c>
      <c r="C76" s="102" t="s">
        <v>413</v>
      </c>
      <c r="D76" s="103"/>
      <c r="E76" s="39" t="s">
        <v>260</v>
      </c>
      <c r="F76" s="41">
        <v>5</v>
      </c>
      <c r="G76" s="75">
        <v>0</v>
      </c>
      <c r="H76" s="41">
        <f t="shared" si="66"/>
        <v>0</v>
      </c>
      <c r="I76" s="41">
        <f t="shared" si="67"/>
        <v>0</v>
      </c>
      <c r="J76" s="41">
        <f t="shared" si="68"/>
        <v>0</v>
      </c>
      <c r="K76" s="48" t="s">
        <v>250</v>
      </c>
      <c r="L76" s="8"/>
      <c r="Z76" s="43">
        <f t="shared" si="69"/>
        <v>0</v>
      </c>
      <c r="AB76" s="43">
        <f t="shared" si="70"/>
        <v>0</v>
      </c>
      <c r="AC76" s="43">
        <f t="shared" si="71"/>
        <v>0</v>
      </c>
      <c r="AD76" s="43">
        <f t="shared" si="72"/>
        <v>0</v>
      </c>
      <c r="AE76" s="43">
        <f t="shared" si="73"/>
        <v>0</v>
      </c>
      <c r="AF76" s="43">
        <f t="shared" si="74"/>
        <v>0</v>
      </c>
      <c r="AG76" s="43">
        <f t="shared" si="75"/>
        <v>0</v>
      </c>
      <c r="AH76" s="43">
        <f t="shared" si="76"/>
        <v>0</v>
      </c>
      <c r="AI76" s="65" t="s">
        <v>255</v>
      </c>
      <c r="AJ76" s="43">
        <f t="shared" si="77"/>
        <v>0</v>
      </c>
      <c r="AK76" s="43">
        <f t="shared" si="78"/>
        <v>0</v>
      </c>
      <c r="AL76" s="43">
        <f t="shared" si="79"/>
        <v>0</v>
      </c>
      <c r="AN76" s="43">
        <v>21</v>
      </c>
      <c r="AO76" s="43">
        <f>G76*1</f>
        <v>0</v>
      </c>
      <c r="AP76" s="43">
        <f>G76*(1-1)</f>
        <v>0</v>
      </c>
      <c r="AQ76" s="62" t="s">
        <v>375</v>
      </c>
      <c r="AV76" s="43">
        <f t="shared" si="80"/>
        <v>0</v>
      </c>
      <c r="AW76" s="43">
        <f t="shared" si="81"/>
        <v>0</v>
      </c>
      <c r="AX76" s="43">
        <f t="shared" si="82"/>
        <v>0</v>
      </c>
      <c r="AY76" s="62" t="s">
        <v>78</v>
      </c>
      <c r="AZ76" s="62" t="s">
        <v>338</v>
      </c>
      <c r="BA76" s="65" t="s">
        <v>275</v>
      </c>
      <c r="BC76" s="43">
        <f t="shared" si="83"/>
        <v>0</v>
      </c>
      <c r="BD76" s="43">
        <f t="shared" si="84"/>
        <v>0</v>
      </c>
      <c r="BE76" s="43">
        <v>0</v>
      </c>
      <c r="BF76" s="43">
        <f>76</f>
        <v>76</v>
      </c>
      <c r="BH76" s="43">
        <f t="shared" si="85"/>
        <v>0</v>
      </c>
      <c r="BI76" s="43">
        <f t="shared" si="86"/>
        <v>0</v>
      </c>
      <c r="BJ76" s="43">
        <f t="shared" si="87"/>
        <v>0</v>
      </c>
      <c r="BK76" s="43"/>
      <c r="BL76" s="43">
        <v>734</v>
      </c>
      <c r="BW76" s="43">
        <v>21</v>
      </c>
    </row>
    <row r="77" spans="1:75" ht="27" customHeight="1">
      <c r="A77" s="6" t="s">
        <v>420</v>
      </c>
      <c r="B77" s="25" t="s">
        <v>311</v>
      </c>
      <c r="C77" s="102" t="s">
        <v>8</v>
      </c>
      <c r="D77" s="103"/>
      <c r="E77" s="25" t="s">
        <v>99</v>
      </c>
      <c r="F77" s="15">
        <v>6</v>
      </c>
      <c r="G77" s="75">
        <v>0</v>
      </c>
      <c r="H77" s="15">
        <f t="shared" si="66"/>
        <v>0</v>
      </c>
      <c r="I77" s="15">
        <f t="shared" si="67"/>
        <v>0</v>
      </c>
      <c r="J77" s="15">
        <f t="shared" si="68"/>
        <v>0</v>
      </c>
      <c r="K77" s="22" t="s">
        <v>250</v>
      </c>
      <c r="L77" s="8"/>
      <c r="Z77" s="43">
        <f t="shared" si="69"/>
        <v>0</v>
      </c>
      <c r="AB77" s="43">
        <f t="shared" si="70"/>
        <v>0</v>
      </c>
      <c r="AC77" s="43">
        <f t="shared" si="71"/>
        <v>0</v>
      </c>
      <c r="AD77" s="43">
        <f t="shared" si="72"/>
        <v>0</v>
      </c>
      <c r="AE77" s="43">
        <f t="shared" si="73"/>
        <v>0</v>
      </c>
      <c r="AF77" s="43">
        <f t="shared" si="74"/>
        <v>0</v>
      </c>
      <c r="AG77" s="43">
        <f t="shared" si="75"/>
        <v>0</v>
      </c>
      <c r="AH77" s="43">
        <f t="shared" si="76"/>
        <v>0</v>
      </c>
      <c r="AI77" s="65" t="s">
        <v>255</v>
      </c>
      <c r="AJ77" s="43">
        <f t="shared" si="77"/>
        <v>0</v>
      </c>
      <c r="AK77" s="43">
        <f t="shared" si="78"/>
        <v>0</v>
      </c>
      <c r="AL77" s="43">
        <f t="shared" si="79"/>
        <v>0</v>
      </c>
      <c r="AN77" s="43">
        <v>21</v>
      </c>
      <c r="AO77" s="43">
        <f>G77*0.125127436281859</f>
        <v>0</v>
      </c>
      <c r="AP77" s="43">
        <f>G77*(1-0.125127436281859)</f>
        <v>0</v>
      </c>
      <c r="AQ77" s="62" t="s">
        <v>375</v>
      </c>
      <c r="AV77" s="43">
        <f t="shared" si="80"/>
        <v>0</v>
      </c>
      <c r="AW77" s="43">
        <f t="shared" si="81"/>
        <v>0</v>
      </c>
      <c r="AX77" s="43">
        <f t="shared" si="82"/>
        <v>0</v>
      </c>
      <c r="AY77" s="62" t="s">
        <v>78</v>
      </c>
      <c r="AZ77" s="62" t="s">
        <v>338</v>
      </c>
      <c r="BA77" s="65" t="s">
        <v>275</v>
      </c>
      <c r="BC77" s="43">
        <f t="shared" si="83"/>
        <v>0</v>
      </c>
      <c r="BD77" s="43">
        <f t="shared" si="84"/>
        <v>0</v>
      </c>
      <c r="BE77" s="43">
        <v>0</v>
      </c>
      <c r="BF77" s="43">
        <f>77</f>
        <v>77</v>
      </c>
      <c r="BH77" s="43">
        <f t="shared" si="85"/>
        <v>0</v>
      </c>
      <c r="BI77" s="43">
        <f t="shared" si="86"/>
        <v>0</v>
      </c>
      <c r="BJ77" s="43">
        <f t="shared" si="87"/>
        <v>0</v>
      </c>
      <c r="BK77" s="43"/>
      <c r="BL77" s="43">
        <v>734</v>
      </c>
      <c r="BW77" s="43">
        <v>21</v>
      </c>
    </row>
    <row r="78" spans="1:75" ht="13.5" customHeight="1">
      <c r="A78" s="53" t="s">
        <v>94</v>
      </c>
      <c r="B78" s="12" t="s">
        <v>3</v>
      </c>
      <c r="C78" s="88" t="s">
        <v>221</v>
      </c>
      <c r="D78" s="83"/>
      <c r="E78" s="12" t="s">
        <v>99</v>
      </c>
      <c r="F78" s="43">
        <v>3</v>
      </c>
      <c r="G78" s="75">
        <v>0</v>
      </c>
      <c r="H78" s="43">
        <f t="shared" si="66"/>
        <v>0</v>
      </c>
      <c r="I78" s="43">
        <f t="shared" si="67"/>
        <v>0</v>
      </c>
      <c r="J78" s="43">
        <f t="shared" si="68"/>
        <v>0</v>
      </c>
      <c r="K78" s="62" t="s">
        <v>250</v>
      </c>
      <c r="L78" s="8"/>
      <c r="Z78" s="43">
        <f t="shared" si="69"/>
        <v>0</v>
      </c>
      <c r="AB78" s="43">
        <f t="shared" si="70"/>
        <v>0</v>
      </c>
      <c r="AC78" s="43">
        <f t="shared" si="71"/>
        <v>0</v>
      </c>
      <c r="AD78" s="43">
        <f t="shared" si="72"/>
        <v>0</v>
      </c>
      <c r="AE78" s="43">
        <f t="shared" si="73"/>
        <v>0</v>
      </c>
      <c r="AF78" s="43">
        <f t="shared" si="74"/>
        <v>0</v>
      </c>
      <c r="AG78" s="43">
        <f t="shared" si="75"/>
        <v>0</v>
      </c>
      <c r="AH78" s="43">
        <f t="shared" si="76"/>
        <v>0</v>
      </c>
      <c r="AI78" s="65" t="s">
        <v>255</v>
      </c>
      <c r="AJ78" s="43">
        <f t="shared" si="77"/>
        <v>0</v>
      </c>
      <c r="AK78" s="43">
        <f t="shared" si="78"/>
        <v>0</v>
      </c>
      <c r="AL78" s="43">
        <f t="shared" si="79"/>
        <v>0</v>
      </c>
      <c r="AN78" s="43">
        <v>21</v>
      </c>
      <c r="AO78" s="43">
        <f>G78*0.896329203539823</f>
        <v>0</v>
      </c>
      <c r="AP78" s="43">
        <f>G78*(1-0.896329203539823)</f>
        <v>0</v>
      </c>
      <c r="AQ78" s="62" t="s">
        <v>375</v>
      </c>
      <c r="AV78" s="43">
        <f t="shared" si="80"/>
        <v>0</v>
      </c>
      <c r="AW78" s="43">
        <f t="shared" si="81"/>
        <v>0</v>
      </c>
      <c r="AX78" s="43">
        <f t="shared" si="82"/>
        <v>0</v>
      </c>
      <c r="AY78" s="62" t="s">
        <v>78</v>
      </c>
      <c r="AZ78" s="62" t="s">
        <v>338</v>
      </c>
      <c r="BA78" s="65" t="s">
        <v>275</v>
      </c>
      <c r="BC78" s="43">
        <f t="shared" si="83"/>
        <v>0</v>
      </c>
      <c r="BD78" s="43">
        <f t="shared" si="84"/>
        <v>0</v>
      </c>
      <c r="BE78" s="43">
        <v>0</v>
      </c>
      <c r="BF78" s="43">
        <f>78</f>
        <v>78</v>
      </c>
      <c r="BH78" s="43">
        <f t="shared" si="85"/>
        <v>0</v>
      </c>
      <c r="BI78" s="43">
        <f t="shared" si="86"/>
        <v>0</v>
      </c>
      <c r="BJ78" s="43">
        <f t="shared" si="87"/>
        <v>0</v>
      </c>
      <c r="BK78" s="43"/>
      <c r="BL78" s="43">
        <v>734</v>
      </c>
      <c r="BW78" s="43">
        <v>21</v>
      </c>
    </row>
    <row r="79" spans="1:75" ht="13.5" customHeight="1">
      <c r="A79" s="53" t="s">
        <v>184</v>
      </c>
      <c r="B79" s="12" t="s">
        <v>388</v>
      </c>
      <c r="C79" s="88" t="s">
        <v>395</v>
      </c>
      <c r="D79" s="83"/>
      <c r="E79" s="12" t="s">
        <v>99</v>
      </c>
      <c r="F79" s="43">
        <v>3</v>
      </c>
      <c r="G79" s="75">
        <v>0</v>
      </c>
      <c r="H79" s="43">
        <f t="shared" si="66"/>
        <v>0</v>
      </c>
      <c r="I79" s="43">
        <f t="shared" si="67"/>
        <v>0</v>
      </c>
      <c r="J79" s="43">
        <f t="shared" si="68"/>
        <v>0</v>
      </c>
      <c r="K79" s="62" t="s">
        <v>250</v>
      </c>
      <c r="L79" s="8"/>
      <c r="Z79" s="43">
        <f t="shared" si="69"/>
        <v>0</v>
      </c>
      <c r="AB79" s="43">
        <f t="shared" si="70"/>
        <v>0</v>
      </c>
      <c r="AC79" s="43">
        <f t="shared" si="71"/>
        <v>0</v>
      </c>
      <c r="AD79" s="43">
        <f t="shared" si="72"/>
        <v>0</v>
      </c>
      <c r="AE79" s="43">
        <f t="shared" si="73"/>
        <v>0</v>
      </c>
      <c r="AF79" s="43">
        <f t="shared" si="74"/>
        <v>0</v>
      </c>
      <c r="AG79" s="43">
        <f t="shared" si="75"/>
        <v>0</v>
      </c>
      <c r="AH79" s="43">
        <f t="shared" si="76"/>
        <v>0</v>
      </c>
      <c r="AI79" s="65" t="s">
        <v>255</v>
      </c>
      <c r="AJ79" s="43">
        <f t="shared" si="77"/>
        <v>0</v>
      </c>
      <c r="AK79" s="43">
        <f t="shared" si="78"/>
        <v>0</v>
      </c>
      <c r="AL79" s="43">
        <f t="shared" si="79"/>
        <v>0</v>
      </c>
      <c r="AN79" s="43">
        <v>21</v>
      </c>
      <c r="AO79" s="43">
        <f>G79*0.922928947368421</f>
        <v>0</v>
      </c>
      <c r="AP79" s="43">
        <f>G79*(1-0.922928947368421)</f>
        <v>0</v>
      </c>
      <c r="AQ79" s="62" t="s">
        <v>375</v>
      </c>
      <c r="AV79" s="43">
        <f t="shared" si="80"/>
        <v>0</v>
      </c>
      <c r="AW79" s="43">
        <f t="shared" si="81"/>
        <v>0</v>
      </c>
      <c r="AX79" s="43">
        <f t="shared" si="82"/>
        <v>0</v>
      </c>
      <c r="AY79" s="62" t="s">
        <v>78</v>
      </c>
      <c r="AZ79" s="62" t="s">
        <v>338</v>
      </c>
      <c r="BA79" s="65" t="s">
        <v>275</v>
      </c>
      <c r="BC79" s="43">
        <f t="shared" si="83"/>
        <v>0</v>
      </c>
      <c r="BD79" s="43">
        <f t="shared" si="84"/>
        <v>0</v>
      </c>
      <c r="BE79" s="43">
        <v>0</v>
      </c>
      <c r="BF79" s="43">
        <f>79</f>
        <v>79</v>
      </c>
      <c r="BH79" s="43">
        <f t="shared" si="85"/>
        <v>0</v>
      </c>
      <c r="BI79" s="43">
        <f t="shared" si="86"/>
        <v>0</v>
      </c>
      <c r="BJ79" s="43">
        <f t="shared" si="87"/>
        <v>0</v>
      </c>
      <c r="BK79" s="43"/>
      <c r="BL79" s="43">
        <v>734</v>
      </c>
      <c r="BW79" s="43">
        <v>21</v>
      </c>
    </row>
    <row r="80" spans="1:75" ht="13.5" customHeight="1">
      <c r="A80" s="53" t="s">
        <v>417</v>
      </c>
      <c r="B80" s="12" t="s">
        <v>135</v>
      </c>
      <c r="C80" s="88" t="s">
        <v>293</v>
      </c>
      <c r="D80" s="83"/>
      <c r="E80" s="12" t="s">
        <v>99</v>
      </c>
      <c r="F80" s="43">
        <v>0</v>
      </c>
      <c r="G80" s="75">
        <v>0</v>
      </c>
      <c r="H80" s="43">
        <f t="shared" si="66"/>
        <v>0</v>
      </c>
      <c r="I80" s="43">
        <f t="shared" si="67"/>
        <v>0</v>
      </c>
      <c r="J80" s="43">
        <f t="shared" si="68"/>
        <v>0</v>
      </c>
      <c r="K80" s="62" t="s">
        <v>250</v>
      </c>
      <c r="L80" s="8"/>
      <c r="Z80" s="43">
        <f t="shared" si="69"/>
        <v>0</v>
      </c>
      <c r="AB80" s="43">
        <f t="shared" si="70"/>
        <v>0</v>
      </c>
      <c r="AC80" s="43">
        <f t="shared" si="71"/>
        <v>0</v>
      </c>
      <c r="AD80" s="43">
        <f t="shared" si="72"/>
        <v>0</v>
      </c>
      <c r="AE80" s="43">
        <f t="shared" si="73"/>
        <v>0</v>
      </c>
      <c r="AF80" s="43">
        <f t="shared" si="74"/>
        <v>0</v>
      </c>
      <c r="AG80" s="43">
        <f t="shared" si="75"/>
        <v>0</v>
      </c>
      <c r="AH80" s="43">
        <f t="shared" si="76"/>
        <v>0</v>
      </c>
      <c r="AI80" s="65" t="s">
        <v>255</v>
      </c>
      <c r="AJ80" s="43">
        <f t="shared" si="77"/>
        <v>0</v>
      </c>
      <c r="AK80" s="43">
        <f t="shared" si="78"/>
        <v>0</v>
      </c>
      <c r="AL80" s="43">
        <f t="shared" si="79"/>
        <v>0</v>
      </c>
      <c r="AN80" s="43">
        <v>21</v>
      </c>
      <c r="AO80" s="43">
        <f>G80*0</f>
        <v>0</v>
      </c>
      <c r="AP80" s="43">
        <f>G80*(1-0)</f>
        <v>0</v>
      </c>
      <c r="AQ80" s="62" t="s">
        <v>375</v>
      </c>
      <c r="AV80" s="43">
        <f t="shared" si="80"/>
        <v>0</v>
      </c>
      <c r="AW80" s="43">
        <f t="shared" si="81"/>
        <v>0</v>
      </c>
      <c r="AX80" s="43">
        <f t="shared" si="82"/>
        <v>0</v>
      </c>
      <c r="AY80" s="62" t="s">
        <v>78</v>
      </c>
      <c r="AZ80" s="62" t="s">
        <v>338</v>
      </c>
      <c r="BA80" s="65" t="s">
        <v>275</v>
      </c>
      <c r="BC80" s="43">
        <f t="shared" si="83"/>
        <v>0</v>
      </c>
      <c r="BD80" s="43">
        <f t="shared" si="84"/>
        <v>0</v>
      </c>
      <c r="BE80" s="43">
        <v>0</v>
      </c>
      <c r="BF80" s="43">
        <f>80</f>
        <v>80</v>
      </c>
      <c r="BH80" s="43">
        <f t="shared" si="85"/>
        <v>0</v>
      </c>
      <c r="BI80" s="43">
        <f t="shared" si="86"/>
        <v>0</v>
      </c>
      <c r="BJ80" s="43">
        <f t="shared" si="87"/>
        <v>0</v>
      </c>
      <c r="BK80" s="43"/>
      <c r="BL80" s="43">
        <v>734</v>
      </c>
      <c r="BW80" s="43">
        <v>21</v>
      </c>
    </row>
    <row r="81" spans="1:75" ht="27" customHeight="1">
      <c r="A81" s="1" t="s">
        <v>394</v>
      </c>
      <c r="B81" s="39" t="s">
        <v>16</v>
      </c>
      <c r="C81" s="102" t="s">
        <v>253</v>
      </c>
      <c r="D81" s="103"/>
      <c r="E81" s="39" t="s">
        <v>99</v>
      </c>
      <c r="F81" s="41">
        <v>1</v>
      </c>
      <c r="G81" s="75">
        <v>0</v>
      </c>
      <c r="H81" s="41">
        <f t="shared" si="66"/>
        <v>0</v>
      </c>
      <c r="I81" s="41">
        <f t="shared" si="67"/>
        <v>0</v>
      </c>
      <c r="J81" s="41">
        <f t="shared" si="68"/>
        <v>0</v>
      </c>
      <c r="K81" s="48" t="s">
        <v>250</v>
      </c>
      <c r="L81" s="8"/>
      <c r="Z81" s="43">
        <f t="shared" si="69"/>
        <v>0</v>
      </c>
      <c r="AB81" s="43">
        <f t="shared" si="70"/>
        <v>0</v>
      </c>
      <c r="AC81" s="43">
        <f t="shared" si="71"/>
        <v>0</v>
      </c>
      <c r="AD81" s="43">
        <f t="shared" si="72"/>
        <v>0</v>
      </c>
      <c r="AE81" s="43">
        <f t="shared" si="73"/>
        <v>0</v>
      </c>
      <c r="AF81" s="43">
        <f t="shared" si="74"/>
        <v>0</v>
      </c>
      <c r="AG81" s="43">
        <f t="shared" si="75"/>
        <v>0</v>
      </c>
      <c r="AH81" s="43">
        <f t="shared" si="76"/>
        <v>0</v>
      </c>
      <c r="AI81" s="65" t="s">
        <v>255</v>
      </c>
      <c r="AJ81" s="43">
        <f t="shared" si="77"/>
        <v>0</v>
      </c>
      <c r="AK81" s="43">
        <f t="shared" si="78"/>
        <v>0</v>
      </c>
      <c r="AL81" s="43">
        <f t="shared" si="79"/>
        <v>0</v>
      </c>
      <c r="AN81" s="43">
        <v>21</v>
      </c>
      <c r="AO81" s="43">
        <f>G81*0.0835339805825243</f>
        <v>0</v>
      </c>
      <c r="AP81" s="43">
        <f>G81*(1-0.0835339805825243)</f>
        <v>0</v>
      </c>
      <c r="AQ81" s="62" t="s">
        <v>375</v>
      </c>
      <c r="AV81" s="43">
        <f t="shared" si="80"/>
        <v>0</v>
      </c>
      <c r="AW81" s="43">
        <f t="shared" si="81"/>
        <v>0</v>
      </c>
      <c r="AX81" s="43">
        <f t="shared" si="82"/>
        <v>0</v>
      </c>
      <c r="AY81" s="62" t="s">
        <v>78</v>
      </c>
      <c r="AZ81" s="62" t="s">
        <v>338</v>
      </c>
      <c r="BA81" s="65" t="s">
        <v>275</v>
      </c>
      <c r="BC81" s="43">
        <f t="shared" si="83"/>
        <v>0</v>
      </c>
      <c r="BD81" s="43">
        <f t="shared" si="84"/>
        <v>0</v>
      </c>
      <c r="BE81" s="43">
        <v>0</v>
      </c>
      <c r="BF81" s="43">
        <f>81</f>
        <v>81</v>
      </c>
      <c r="BH81" s="43">
        <f t="shared" si="85"/>
        <v>0</v>
      </c>
      <c r="BI81" s="43">
        <f t="shared" si="86"/>
        <v>0</v>
      </c>
      <c r="BJ81" s="43">
        <f t="shared" si="87"/>
        <v>0</v>
      </c>
      <c r="BK81" s="43"/>
      <c r="BL81" s="43">
        <v>734</v>
      </c>
      <c r="BW81" s="43">
        <v>21</v>
      </c>
    </row>
    <row r="82" spans="1:75" ht="27" customHeight="1">
      <c r="A82" s="6" t="s">
        <v>5</v>
      </c>
      <c r="B82" s="25" t="s">
        <v>10</v>
      </c>
      <c r="C82" s="102" t="s">
        <v>225</v>
      </c>
      <c r="D82" s="103"/>
      <c r="E82" s="25" t="s">
        <v>99</v>
      </c>
      <c r="F82" s="15">
        <v>3</v>
      </c>
      <c r="G82" s="75">
        <v>0</v>
      </c>
      <c r="H82" s="15">
        <f t="shared" si="66"/>
        <v>0</v>
      </c>
      <c r="I82" s="15">
        <f t="shared" si="67"/>
        <v>0</v>
      </c>
      <c r="J82" s="15">
        <f t="shared" si="68"/>
        <v>0</v>
      </c>
      <c r="K82" s="22" t="s">
        <v>250</v>
      </c>
      <c r="L82" s="8"/>
      <c r="Z82" s="43">
        <f t="shared" si="69"/>
        <v>0</v>
      </c>
      <c r="AB82" s="43">
        <f t="shared" si="70"/>
        <v>0</v>
      </c>
      <c r="AC82" s="43">
        <f t="shared" si="71"/>
        <v>0</v>
      </c>
      <c r="AD82" s="43">
        <f t="shared" si="72"/>
        <v>0</v>
      </c>
      <c r="AE82" s="43">
        <f t="shared" si="73"/>
        <v>0</v>
      </c>
      <c r="AF82" s="43">
        <f t="shared" si="74"/>
        <v>0</v>
      </c>
      <c r="AG82" s="43">
        <f t="shared" si="75"/>
        <v>0</v>
      </c>
      <c r="AH82" s="43">
        <f t="shared" si="76"/>
        <v>0</v>
      </c>
      <c r="AI82" s="65" t="s">
        <v>255</v>
      </c>
      <c r="AJ82" s="43">
        <f t="shared" si="77"/>
        <v>0</v>
      </c>
      <c r="AK82" s="43">
        <f t="shared" si="78"/>
        <v>0</v>
      </c>
      <c r="AL82" s="43">
        <f t="shared" si="79"/>
        <v>0</v>
      </c>
      <c r="AN82" s="43">
        <v>21</v>
      </c>
      <c r="AO82" s="43">
        <f>G82*0.0778606965174129</f>
        <v>0</v>
      </c>
      <c r="AP82" s="43">
        <f>G82*(1-0.0778606965174129)</f>
        <v>0</v>
      </c>
      <c r="AQ82" s="62" t="s">
        <v>375</v>
      </c>
      <c r="AV82" s="43">
        <f t="shared" si="80"/>
        <v>0</v>
      </c>
      <c r="AW82" s="43">
        <f t="shared" si="81"/>
        <v>0</v>
      </c>
      <c r="AX82" s="43">
        <f t="shared" si="82"/>
        <v>0</v>
      </c>
      <c r="AY82" s="62" t="s">
        <v>78</v>
      </c>
      <c r="AZ82" s="62" t="s">
        <v>338</v>
      </c>
      <c r="BA82" s="65" t="s">
        <v>275</v>
      </c>
      <c r="BC82" s="43">
        <f t="shared" si="83"/>
        <v>0</v>
      </c>
      <c r="BD82" s="43">
        <f t="shared" si="84"/>
        <v>0</v>
      </c>
      <c r="BE82" s="43">
        <v>0</v>
      </c>
      <c r="BF82" s="43">
        <f>82</f>
        <v>82</v>
      </c>
      <c r="BH82" s="43">
        <f t="shared" si="85"/>
        <v>0</v>
      </c>
      <c r="BI82" s="43">
        <f t="shared" si="86"/>
        <v>0</v>
      </c>
      <c r="BJ82" s="43">
        <f t="shared" si="87"/>
        <v>0</v>
      </c>
      <c r="BK82" s="43"/>
      <c r="BL82" s="43">
        <v>734</v>
      </c>
      <c r="BW82" s="43">
        <v>21</v>
      </c>
    </row>
    <row r="83" spans="1:75" ht="27" customHeight="1">
      <c r="A83" s="6" t="s">
        <v>69</v>
      </c>
      <c r="B83" s="25" t="s">
        <v>83</v>
      </c>
      <c r="C83" s="102" t="s">
        <v>298</v>
      </c>
      <c r="D83" s="103"/>
      <c r="E83" s="25" t="s">
        <v>99</v>
      </c>
      <c r="F83" s="15">
        <v>1</v>
      </c>
      <c r="G83" s="75">
        <v>0</v>
      </c>
      <c r="H83" s="15">
        <f t="shared" si="66"/>
        <v>0</v>
      </c>
      <c r="I83" s="15">
        <f t="shared" si="67"/>
        <v>0</v>
      </c>
      <c r="J83" s="15">
        <f t="shared" si="68"/>
        <v>0</v>
      </c>
      <c r="K83" s="22" t="s">
        <v>250</v>
      </c>
      <c r="L83" s="8"/>
      <c r="Z83" s="43">
        <f t="shared" si="69"/>
        <v>0</v>
      </c>
      <c r="AB83" s="43">
        <f t="shared" si="70"/>
        <v>0</v>
      </c>
      <c r="AC83" s="43">
        <f t="shared" si="71"/>
        <v>0</v>
      </c>
      <c r="AD83" s="43">
        <f t="shared" si="72"/>
        <v>0</v>
      </c>
      <c r="AE83" s="43">
        <f t="shared" si="73"/>
        <v>0</v>
      </c>
      <c r="AF83" s="43">
        <f t="shared" si="74"/>
        <v>0</v>
      </c>
      <c r="AG83" s="43">
        <f t="shared" si="75"/>
        <v>0</v>
      </c>
      <c r="AH83" s="43">
        <f t="shared" si="76"/>
        <v>0</v>
      </c>
      <c r="AI83" s="65" t="s">
        <v>255</v>
      </c>
      <c r="AJ83" s="43">
        <f t="shared" si="77"/>
        <v>0</v>
      </c>
      <c r="AK83" s="43">
        <f t="shared" si="78"/>
        <v>0</v>
      </c>
      <c r="AL83" s="43">
        <f t="shared" si="79"/>
        <v>0</v>
      </c>
      <c r="AN83" s="43">
        <v>21</v>
      </c>
      <c r="AO83" s="43">
        <f>G83*0.0694674556213018</f>
        <v>0</v>
      </c>
      <c r="AP83" s="43">
        <f>G83*(1-0.0694674556213018)</f>
        <v>0</v>
      </c>
      <c r="AQ83" s="62" t="s">
        <v>375</v>
      </c>
      <c r="AV83" s="43">
        <f t="shared" si="80"/>
        <v>0</v>
      </c>
      <c r="AW83" s="43">
        <f t="shared" si="81"/>
        <v>0</v>
      </c>
      <c r="AX83" s="43">
        <f t="shared" si="82"/>
        <v>0</v>
      </c>
      <c r="AY83" s="62" t="s">
        <v>78</v>
      </c>
      <c r="AZ83" s="62" t="s">
        <v>338</v>
      </c>
      <c r="BA83" s="65" t="s">
        <v>275</v>
      </c>
      <c r="BC83" s="43">
        <f t="shared" si="83"/>
        <v>0</v>
      </c>
      <c r="BD83" s="43">
        <f t="shared" si="84"/>
        <v>0</v>
      </c>
      <c r="BE83" s="43">
        <v>0</v>
      </c>
      <c r="BF83" s="43">
        <f>83</f>
        <v>83</v>
      </c>
      <c r="BH83" s="43">
        <f t="shared" si="85"/>
        <v>0</v>
      </c>
      <c r="BI83" s="43">
        <f t="shared" si="86"/>
        <v>0</v>
      </c>
      <c r="BJ83" s="43">
        <f t="shared" si="87"/>
        <v>0</v>
      </c>
      <c r="BK83" s="43"/>
      <c r="BL83" s="43">
        <v>734</v>
      </c>
      <c r="BW83" s="43">
        <v>21</v>
      </c>
    </row>
    <row r="84" spans="1:75" ht="27" customHeight="1">
      <c r="A84" s="6" t="s">
        <v>87</v>
      </c>
      <c r="B84" s="25" t="s">
        <v>121</v>
      </c>
      <c r="C84" s="102" t="s">
        <v>139</v>
      </c>
      <c r="D84" s="103"/>
      <c r="E84" s="25" t="s">
        <v>99</v>
      </c>
      <c r="F84" s="15">
        <v>1</v>
      </c>
      <c r="G84" s="75">
        <v>0</v>
      </c>
      <c r="H84" s="15">
        <f t="shared" si="66"/>
        <v>0</v>
      </c>
      <c r="I84" s="15">
        <f t="shared" si="67"/>
        <v>0</v>
      </c>
      <c r="J84" s="15">
        <f t="shared" si="68"/>
        <v>0</v>
      </c>
      <c r="K84" s="22" t="s">
        <v>250</v>
      </c>
      <c r="L84" s="8"/>
      <c r="Z84" s="43">
        <f t="shared" si="69"/>
        <v>0</v>
      </c>
      <c r="AB84" s="43">
        <f t="shared" si="70"/>
        <v>0</v>
      </c>
      <c r="AC84" s="43">
        <f t="shared" si="71"/>
        <v>0</v>
      </c>
      <c r="AD84" s="43">
        <f t="shared" si="72"/>
        <v>0</v>
      </c>
      <c r="AE84" s="43">
        <f t="shared" si="73"/>
        <v>0</v>
      </c>
      <c r="AF84" s="43">
        <f t="shared" si="74"/>
        <v>0</v>
      </c>
      <c r="AG84" s="43">
        <f t="shared" si="75"/>
        <v>0</v>
      </c>
      <c r="AH84" s="43">
        <f t="shared" si="76"/>
        <v>0</v>
      </c>
      <c r="AI84" s="65" t="s">
        <v>255</v>
      </c>
      <c r="AJ84" s="43">
        <f t="shared" si="77"/>
        <v>0</v>
      </c>
      <c r="AK84" s="43">
        <f t="shared" si="78"/>
        <v>0</v>
      </c>
      <c r="AL84" s="43">
        <f t="shared" si="79"/>
        <v>0</v>
      </c>
      <c r="AN84" s="43">
        <v>21</v>
      </c>
      <c r="AO84" s="43">
        <f>G84*0.0526599326599327</f>
        <v>0</v>
      </c>
      <c r="AP84" s="43">
        <f>G84*(1-0.0526599326599327)</f>
        <v>0</v>
      </c>
      <c r="AQ84" s="62" t="s">
        <v>375</v>
      </c>
      <c r="AV84" s="43">
        <f t="shared" si="80"/>
        <v>0</v>
      </c>
      <c r="AW84" s="43">
        <f t="shared" si="81"/>
        <v>0</v>
      </c>
      <c r="AX84" s="43">
        <f t="shared" si="82"/>
        <v>0</v>
      </c>
      <c r="AY84" s="62" t="s">
        <v>78</v>
      </c>
      <c r="AZ84" s="62" t="s">
        <v>338</v>
      </c>
      <c r="BA84" s="65" t="s">
        <v>275</v>
      </c>
      <c r="BC84" s="43">
        <f t="shared" si="83"/>
        <v>0</v>
      </c>
      <c r="BD84" s="43">
        <f t="shared" si="84"/>
        <v>0</v>
      </c>
      <c r="BE84" s="43">
        <v>0</v>
      </c>
      <c r="BF84" s="43">
        <f>84</f>
        <v>84</v>
      </c>
      <c r="BH84" s="43">
        <f t="shared" si="85"/>
        <v>0</v>
      </c>
      <c r="BI84" s="43">
        <f t="shared" si="86"/>
        <v>0</v>
      </c>
      <c r="BJ84" s="43">
        <f t="shared" si="87"/>
        <v>0</v>
      </c>
      <c r="BK84" s="43"/>
      <c r="BL84" s="43">
        <v>734</v>
      </c>
      <c r="BW84" s="43">
        <v>21</v>
      </c>
    </row>
    <row r="85" spans="1:75" ht="27" customHeight="1">
      <c r="A85" s="53" t="s">
        <v>285</v>
      </c>
      <c r="B85" s="12" t="s">
        <v>14</v>
      </c>
      <c r="C85" s="88" t="s">
        <v>424</v>
      </c>
      <c r="D85" s="83"/>
      <c r="E85" s="12" t="s">
        <v>260</v>
      </c>
      <c r="F85" s="43">
        <v>1</v>
      </c>
      <c r="G85" s="75">
        <v>0</v>
      </c>
      <c r="H85" s="43">
        <f t="shared" si="66"/>
        <v>0</v>
      </c>
      <c r="I85" s="43">
        <f t="shared" si="67"/>
        <v>0</v>
      </c>
      <c r="J85" s="43">
        <f t="shared" si="68"/>
        <v>0</v>
      </c>
      <c r="K85" s="62" t="s">
        <v>250</v>
      </c>
      <c r="L85" s="8"/>
      <c r="Z85" s="43">
        <f t="shared" si="69"/>
        <v>0</v>
      </c>
      <c r="AB85" s="43">
        <f t="shared" si="70"/>
        <v>0</v>
      </c>
      <c r="AC85" s="43">
        <f t="shared" si="71"/>
        <v>0</v>
      </c>
      <c r="AD85" s="43">
        <f t="shared" si="72"/>
        <v>0</v>
      </c>
      <c r="AE85" s="43">
        <f t="shared" si="73"/>
        <v>0</v>
      </c>
      <c r="AF85" s="43">
        <f t="shared" si="74"/>
        <v>0</v>
      </c>
      <c r="AG85" s="43">
        <f t="shared" si="75"/>
        <v>0</v>
      </c>
      <c r="AH85" s="43">
        <f t="shared" si="76"/>
        <v>0</v>
      </c>
      <c r="AI85" s="65" t="s">
        <v>255</v>
      </c>
      <c r="AJ85" s="43">
        <f t="shared" si="77"/>
        <v>0</v>
      </c>
      <c r="AK85" s="43">
        <f t="shared" si="78"/>
        <v>0</v>
      </c>
      <c r="AL85" s="43">
        <f t="shared" si="79"/>
        <v>0</v>
      </c>
      <c r="AN85" s="43">
        <v>21</v>
      </c>
      <c r="AO85" s="43">
        <f>G85*1</f>
        <v>0</v>
      </c>
      <c r="AP85" s="43">
        <f>G85*(1-1)</f>
        <v>0</v>
      </c>
      <c r="AQ85" s="62" t="s">
        <v>375</v>
      </c>
      <c r="AV85" s="43">
        <f t="shared" si="80"/>
        <v>0</v>
      </c>
      <c r="AW85" s="43">
        <f t="shared" si="81"/>
        <v>0</v>
      </c>
      <c r="AX85" s="43">
        <f t="shared" si="82"/>
        <v>0</v>
      </c>
      <c r="AY85" s="62" t="s">
        <v>78</v>
      </c>
      <c r="AZ85" s="62" t="s">
        <v>338</v>
      </c>
      <c r="BA85" s="65" t="s">
        <v>275</v>
      </c>
      <c r="BC85" s="43">
        <f t="shared" si="83"/>
        <v>0</v>
      </c>
      <c r="BD85" s="43">
        <f t="shared" si="84"/>
        <v>0</v>
      </c>
      <c r="BE85" s="43">
        <v>0</v>
      </c>
      <c r="BF85" s="43">
        <f>85</f>
        <v>85</v>
      </c>
      <c r="BH85" s="43">
        <f t="shared" si="85"/>
        <v>0</v>
      </c>
      <c r="BI85" s="43">
        <f t="shared" si="86"/>
        <v>0</v>
      </c>
      <c r="BJ85" s="43">
        <f t="shared" si="87"/>
        <v>0</v>
      </c>
      <c r="BK85" s="43"/>
      <c r="BL85" s="43">
        <v>734</v>
      </c>
      <c r="BW85" s="43">
        <v>21</v>
      </c>
    </row>
    <row r="86" spans="1:75" ht="27" customHeight="1">
      <c r="A86" s="1" t="s">
        <v>39</v>
      </c>
      <c r="B86" s="39" t="s">
        <v>25</v>
      </c>
      <c r="C86" s="102" t="s">
        <v>62</v>
      </c>
      <c r="D86" s="103"/>
      <c r="E86" s="39" t="s">
        <v>260</v>
      </c>
      <c r="F86" s="41">
        <v>3</v>
      </c>
      <c r="G86" s="75">
        <v>0</v>
      </c>
      <c r="H86" s="41">
        <f t="shared" si="66"/>
        <v>0</v>
      </c>
      <c r="I86" s="41">
        <f t="shared" si="67"/>
        <v>0</v>
      </c>
      <c r="J86" s="41">
        <f t="shared" si="68"/>
        <v>0</v>
      </c>
      <c r="K86" s="48" t="s">
        <v>250</v>
      </c>
      <c r="L86" s="8"/>
      <c r="Z86" s="43">
        <f t="shared" si="69"/>
        <v>0</v>
      </c>
      <c r="AB86" s="43">
        <f t="shared" si="70"/>
        <v>0</v>
      </c>
      <c r="AC86" s="43">
        <f t="shared" si="71"/>
        <v>0</v>
      </c>
      <c r="AD86" s="43">
        <f t="shared" si="72"/>
        <v>0</v>
      </c>
      <c r="AE86" s="43">
        <f t="shared" si="73"/>
        <v>0</v>
      </c>
      <c r="AF86" s="43">
        <f t="shared" si="74"/>
        <v>0</v>
      </c>
      <c r="AG86" s="43">
        <f t="shared" si="75"/>
        <v>0</v>
      </c>
      <c r="AH86" s="43">
        <f t="shared" si="76"/>
        <v>0</v>
      </c>
      <c r="AI86" s="65" t="s">
        <v>255</v>
      </c>
      <c r="AJ86" s="43">
        <f t="shared" si="77"/>
        <v>0</v>
      </c>
      <c r="AK86" s="43">
        <f t="shared" si="78"/>
        <v>0</v>
      </c>
      <c r="AL86" s="43">
        <f t="shared" si="79"/>
        <v>0</v>
      </c>
      <c r="AN86" s="43">
        <v>21</v>
      </c>
      <c r="AO86" s="43">
        <f>G86*1</f>
        <v>0</v>
      </c>
      <c r="AP86" s="43">
        <f>G86*(1-1)</f>
        <v>0</v>
      </c>
      <c r="AQ86" s="62" t="s">
        <v>375</v>
      </c>
      <c r="AV86" s="43">
        <f t="shared" si="80"/>
        <v>0</v>
      </c>
      <c r="AW86" s="43">
        <f t="shared" si="81"/>
        <v>0</v>
      </c>
      <c r="AX86" s="43">
        <f t="shared" si="82"/>
        <v>0</v>
      </c>
      <c r="AY86" s="62" t="s">
        <v>78</v>
      </c>
      <c r="AZ86" s="62" t="s">
        <v>338</v>
      </c>
      <c r="BA86" s="65" t="s">
        <v>275</v>
      </c>
      <c r="BC86" s="43">
        <f t="shared" si="83"/>
        <v>0</v>
      </c>
      <c r="BD86" s="43">
        <f t="shared" si="84"/>
        <v>0</v>
      </c>
      <c r="BE86" s="43">
        <v>0</v>
      </c>
      <c r="BF86" s="43">
        <f>86</f>
        <v>86</v>
      </c>
      <c r="BH86" s="43">
        <f t="shared" si="85"/>
        <v>0</v>
      </c>
      <c r="BI86" s="43">
        <f t="shared" si="86"/>
        <v>0</v>
      </c>
      <c r="BJ86" s="43">
        <f t="shared" si="87"/>
        <v>0</v>
      </c>
      <c r="BK86" s="43"/>
      <c r="BL86" s="43">
        <v>734</v>
      </c>
      <c r="BW86" s="43">
        <v>21</v>
      </c>
    </row>
    <row r="87" spans="1:75" ht="27" customHeight="1">
      <c r="A87" s="6" t="s">
        <v>279</v>
      </c>
      <c r="B87" s="25" t="s">
        <v>340</v>
      </c>
      <c r="C87" s="102" t="s">
        <v>381</v>
      </c>
      <c r="D87" s="103"/>
      <c r="E87" s="25" t="s">
        <v>260</v>
      </c>
      <c r="F87" s="15">
        <v>1</v>
      </c>
      <c r="G87" s="75">
        <v>0</v>
      </c>
      <c r="H87" s="15">
        <f aca="true" t="shared" si="88" ref="H87:H109">F87*AO87</f>
        <v>0</v>
      </c>
      <c r="I87" s="15">
        <f aca="true" t="shared" si="89" ref="I87:I109">F87*AP87</f>
        <v>0</v>
      </c>
      <c r="J87" s="15">
        <f aca="true" t="shared" si="90" ref="J87:J109">F87*G87</f>
        <v>0</v>
      </c>
      <c r="K87" s="22" t="s">
        <v>250</v>
      </c>
      <c r="L87" s="8"/>
      <c r="Z87" s="43">
        <f aca="true" t="shared" si="91" ref="Z87:Z109">IF(AQ87="5",BJ87,0)</f>
        <v>0</v>
      </c>
      <c r="AB87" s="43">
        <f aca="true" t="shared" si="92" ref="AB87:AB109">IF(AQ87="1",BH87,0)</f>
        <v>0</v>
      </c>
      <c r="AC87" s="43">
        <f aca="true" t="shared" si="93" ref="AC87:AC109">IF(AQ87="1",BI87,0)</f>
        <v>0</v>
      </c>
      <c r="AD87" s="43">
        <f aca="true" t="shared" si="94" ref="AD87:AD109">IF(AQ87="7",BH87,0)</f>
        <v>0</v>
      </c>
      <c r="AE87" s="43">
        <f aca="true" t="shared" si="95" ref="AE87:AE109">IF(AQ87="7",BI87,0)</f>
        <v>0</v>
      </c>
      <c r="AF87" s="43">
        <f aca="true" t="shared" si="96" ref="AF87:AF109">IF(AQ87="2",BH87,0)</f>
        <v>0</v>
      </c>
      <c r="AG87" s="43">
        <f aca="true" t="shared" si="97" ref="AG87:AG109">IF(AQ87="2",BI87,0)</f>
        <v>0</v>
      </c>
      <c r="AH87" s="43">
        <f aca="true" t="shared" si="98" ref="AH87:AH109">IF(AQ87="0",BJ87,0)</f>
        <v>0</v>
      </c>
      <c r="AI87" s="65" t="s">
        <v>255</v>
      </c>
      <c r="AJ87" s="43">
        <f aca="true" t="shared" si="99" ref="AJ87:AJ109">IF(AN87=0,J87,0)</f>
        <v>0</v>
      </c>
      <c r="AK87" s="43">
        <f aca="true" t="shared" si="100" ref="AK87:AK109">IF(AN87=15,J87,0)</f>
        <v>0</v>
      </c>
      <c r="AL87" s="43">
        <f aca="true" t="shared" si="101" ref="AL87:AL109">IF(AN87=21,J87,0)</f>
        <v>0</v>
      </c>
      <c r="AN87" s="43">
        <v>21</v>
      </c>
      <c r="AO87" s="43">
        <f>G87*1</f>
        <v>0</v>
      </c>
      <c r="AP87" s="43">
        <f>G87*(1-1)</f>
        <v>0</v>
      </c>
      <c r="AQ87" s="62" t="s">
        <v>375</v>
      </c>
      <c r="AV87" s="43">
        <f aca="true" t="shared" si="102" ref="AV87:AV109">AW87+AX87</f>
        <v>0</v>
      </c>
      <c r="AW87" s="43">
        <f aca="true" t="shared" si="103" ref="AW87:AW109">F87*AO87</f>
        <v>0</v>
      </c>
      <c r="AX87" s="43">
        <f aca="true" t="shared" si="104" ref="AX87:AX109">F87*AP87</f>
        <v>0</v>
      </c>
      <c r="AY87" s="62" t="s">
        <v>78</v>
      </c>
      <c r="AZ87" s="62" t="s">
        <v>338</v>
      </c>
      <c r="BA87" s="65" t="s">
        <v>275</v>
      </c>
      <c r="BC87" s="43">
        <f aca="true" t="shared" si="105" ref="BC87:BC109">AW87+AX87</f>
        <v>0</v>
      </c>
      <c r="BD87" s="43">
        <f aca="true" t="shared" si="106" ref="BD87:BD109">G87/(100-BE87)*100</f>
        <v>0</v>
      </c>
      <c r="BE87" s="43">
        <v>0</v>
      </c>
      <c r="BF87" s="43">
        <f>87</f>
        <v>87</v>
      </c>
      <c r="BH87" s="43">
        <f aca="true" t="shared" si="107" ref="BH87:BH109">F87*AO87</f>
        <v>0</v>
      </c>
      <c r="BI87" s="43">
        <f aca="true" t="shared" si="108" ref="BI87:BI109">F87*AP87</f>
        <v>0</v>
      </c>
      <c r="BJ87" s="43">
        <f aca="true" t="shared" si="109" ref="BJ87:BJ109">F87*G87</f>
        <v>0</v>
      </c>
      <c r="BK87" s="43"/>
      <c r="BL87" s="43">
        <v>734</v>
      </c>
      <c r="BW87" s="43">
        <v>21</v>
      </c>
    </row>
    <row r="88" spans="1:75" ht="27" customHeight="1">
      <c r="A88" s="6" t="s">
        <v>223</v>
      </c>
      <c r="B88" s="25" t="s">
        <v>11</v>
      </c>
      <c r="C88" s="102" t="s">
        <v>24</v>
      </c>
      <c r="D88" s="103"/>
      <c r="E88" s="25" t="s">
        <v>260</v>
      </c>
      <c r="F88" s="15">
        <v>1</v>
      </c>
      <c r="G88" s="75">
        <v>0</v>
      </c>
      <c r="H88" s="15">
        <f t="shared" si="88"/>
        <v>0</v>
      </c>
      <c r="I88" s="15">
        <f t="shared" si="89"/>
        <v>0</v>
      </c>
      <c r="J88" s="15">
        <f t="shared" si="90"/>
        <v>0</v>
      </c>
      <c r="K88" s="22" t="s">
        <v>250</v>
      </c>
      <c r="L88" s="8"/>
      <c r="Z88" s="43">
        <f t="shared" si="91"/>
        <v>0</v>
      </c>
      <c r="AB88" s="43">
        <f t="shared" si="92"/>
        <v>0</v>
      </c>
      <c r="AC88" s="43">
        <f t="shared" si="93"/>
        <v>0</v>
      </c>
      <c r="AD88" s="43">
        <f t="shared" si="94"/>
        <v>0</v>
      </c>
      <c r="AE88" s="43">
        <f t="shared" si="95"/>
        <v>0</v>
      </c>
      <c r="AF88" s="43">
        <f t="shared" si="96"/>
        <v>0</v>
      </c>
      <c r="AG88" s="43">
        <f t="shared" si="97"/>
        <v>0</v>
      </c>
      <c r="AH88" s="43">
        <f t="shared" si="98"/>
        <v>0</v>
      </c>
      <c r="AI88" s="65" t="s">
        <v>255</v>
      </c>
      <c r="AJ88" s="43">
        <f t="shared" si="99"/>
        <v>0</v>
      </c>
      <c r="AK88" s="43">
        <f t="shared" si="100"/>
        <v>0</v>
      </c>
      <c r="AL88" s="43">
        <f t="shared" si="101"/>
        <v>0</v>
      </c>
      <c r="AN88" s="43">
        <v>21</v>
      </c>
      <c r="AO88" s="43">
        <f>G88*1</f>
        <v>0</v>
      </c>
      <c r="AP88" s="43">
        <f>G88*(1-1)</f>
        <v>0</v>
      </c>
      <c r="AQ88" s="62" t="s">
        <v>375</v>
      </c>
      <c r="AV88" s="43">
        <f t="shared" si="102"/>
        <v>0</v>
      </c>
      <c r="AW88" s="43">
        <f t="shared" si="103"/>
        <v>0</v>
      </c>
      <c r="AX88" s="43">
        <f t="shared" si="104"/>
        <v>0</v>
      </c>
      <c r="AY88" s="62" t="s">
        <v>78</v>
      </c>
      <c r="AZ88" s="62" t="s">
        <v>338</v>
      </c>
      <c r="BA88" s="65" t="s">
        <v>275</v>
      </c>
      <c r="BC88" s="43">
        <f t="shared" si="105"/>
        <v>0</v>
      </c>
      <c r="BD88" s="43">
        <f t="shared" si="106"/>
        <v>0</v>
      </c>
      <c r="BE88" s="43">
        <v>0</v>
      </c>
      <c r="BF88" s="43">
        <f>88</f>
        <v>88</v>
      </c>
      <c r="BH88" s="43">
        <f t="shared" si="107"/>
        <v>0</v>
      </c>
      <c r="BI88" s="43">
        <f t="shared" si="108"/>
        <v>0</v>
      </c>
      <c r="BJ88" s="43">
        <f t="shared" si="109"/>
        <v>0</v>
      </c>
      <c r="BK88" s="43"/>
      <c r="BL88" s="43">
        <v>734</v>
      </c>
      <c r="BW88" s="43">
        <v>21</v>
      </c>
    </row>
    <row r="89" spans="1:75" ht="27" customHeight="1">
      <c r="A89" s="53" t="s">
        <v>377</v>
      </c>
      <c r="B89" s="12" t="s">
        <v>368</v>
      </c>
      <c r="C89" s="88" t="s">
        <v>109</v>
      </c>
      <c r="D89" s="83"/>
      <c r="E89" s="12" t="s">
        <v>260</v>
      </c>
      <c r="F89" s="43">
        <v>6</v>
      </c>
      <c r="G89" s="75">
        <v>0</v>
      </c>
      <c r="H89" s="43">
        <f t="shared" si="88"/>
        <v>0</v>
      </c>
      <c r="I89" s="43">
        <f t="shared" si="89"/>
        <v>0</v>
      </c>
      <c r="J89" s="43">
        <f t="shared" si="90"/>
        <v>0</v>
      </c>
      <c r="K89" s="62" t="s">
        <v>250</v>
      </c>
      <c r="L89" s="8"/>
      <c r="Z89" s="43">
        <f t="shared" si="91"/>
        <v>0</v>
      </c>
      <c r="AB89" s="43">
        <f t="shared" si="92"/>
        <v>0</v>
      </c>
      <c r="AC89" s="43">
        <f t="shared" si="93"/>
        <v>0</v>
      </c>
      <c r="AD89" s="43">
        <f t="shared" si="94"/>
        <v>0</v>
      </c>
      <c r="AE89" s="43">
        <f t="shared" si="95"/>
        <v>0</v>
      </c>
      <c r="AF89" s="43">
        <f t="shared" si="96"/>
        <v>0</v>
      </c>
      <c r="AG89" s="43">
        <f t="shared" si="97"/>
        <v>0</v>
      </c>
      <c r="AH89" s="43">
        <f t="shared" si="98"/>
        <v>0</v>
      </c>
      <c r="AI89" s="65" t="s">
        <v>255</v>
      </c>
      <c r="AJ89" s="43">
        <f t="shared" si="99"/>
        <v>0</v>
      </c>
      <c r="AK89" s="43">
        <f t="shared" si="100"/>
        <v>0</v>
      </c>
      <c r="AL89" s="43">
        <f t="shared" si="101"/>
        <v>0</v>
      </c>
      <c r="AN89" s="43">
        <v>21</v>
      </c>
      <c r="AO89" s="43">
        <f>G89*1</f>
        <v>0</v>
      </c>
      <c r="AP89" s="43">
        <f>G89*(1-1)</f>
        <v>0</v>
      </c>
      <c r="AQ89" s="62" t="s">
        <v>375</v>
      </c>
      <c r="AV89" s="43">
        <f t="shared" si="102"/>
        <v>0</v>
      </c>
      <c r="AW89" s="43">
        <f t="shared" si="103"/>
        <v>0</v>
      </c>
      <c r="AX89" s="43">
        <f t="shared" si="104"/>
        <v>0</v>
      </c>
      <c r="AY89" s="62" t="s">
        <v>78</v>
      </c>
      <c r="AZ89" s="62" t="s">
        <v>338</v>
      </c>
      <c r="BA89" s="65" t="s">
        <v>275</v>
      </c>
      <c r="BC89" s="43">
        <f t="shared" si="105"/>
        <v>0</v>
      </c>
      <c r="BD89" s="43">
        <f t="shared" si="106"/>
        <v>0</v>
      </c>
      <c r="BE89" s="43">
        <v>0</v>
      </c>
      <c r="BF89" s="43">
        <f>89</f>
        <v>89</v>
      </c>
      <c r="BH89" s="43">
        <f t="shared" si="107"/>
        <v>0</v>
      </c>
      <c r="BI89" s="43">
        <f t="shared" si="108"/>
        <v>0</v>
      </c>
      <c r="BJ89" s="43">
        <f t="shared" si="109"/>
        <v>0</v>
      </c>
      <c r="BK89" s="43"/>
      <c r="BL89" s="43">
        <v>734</v>
      </c>
      <c r="BW89" s="43">
        <v>21</v>
      </c>
    </row>
    <row r="90" spans="1:75" ht="27" customHeight="1">
      <c r="A90" s="1" t="s">
        <v>341</v>
      </c>
      <c r="B90" s="39" t="s">
        <v>59</v>
      </c>
      <c r="C90" s="102" t="s">
        <v>314</v>
      </c>
      <c r="D90" s="103"/>
      <c r="E90" s="39" t="s">
        <v>99</v>
      </c>
      <c r="F90" s="41">
        <v>10</v>
      </c>
      <c r="G90" s="75">
        <v>0</v>
      </c>
      <c r="H90" s="41">
        <f t="shared" si="88"/>
        <v>0</v>
      </c>
      <c r="I90" s="41">
        <f t="shared" si="89"/>
        <v>0</v>
      </c>
      <c r="J90" s="41">
        <f t="shared" si="90"/>
        <v>0</v>
      </c>
      <c r="K90" s="48" t="s">
        <v>250</v>
      </c>
      <c r="L90" s="8"/>
      <c r="Z90" s="43">
        <f t="shared" si="91"/>
        <v>0</v>
      </c>
      <c r="AB90" s="43">
        <f t="shared" si="92"/>
        <v>0</v>
      </c>
      <c r="AC90" s="43">
        <f t="shared" si="93"/>
        <v>0</v>
      </c>
      <c r="AD90" s="43">
        <f t="shared" si="94"/>
        <v>0</v>
      </c>
      <c r="AE90" s="43">
        <f t="shared" si="95"/>
        <v>0</v>
      </c>
      <c r="AF90" s="43">
        <f t="shared" si="96"/>
        <v>0</v>
      </c>
      <c r="AG90" s="43">
        <f t="shared" si="97"/>
        <v>0</v>
      </c>
      <c r="AH90" s="43">
        <f t="shared" si="98"/>
        <v>0</v>
      </c>
      <c r="AI90" s="65" t="s">
        <v>255</v>
      </c>
      <c r="AJ90" s="43">
        <f t="shared" si="99"/>
        <v>0</v>
      </c>
      <c r="AK90" s="43">
        <f t="shared" si="100"/>
        <v>0</v>
      </c>
      <c r="AL90" s="43">
        <f t="shared" si="101"/>
        <v>0</v>
      </c>
      <c r="AN90" s="43">
        <v>21</v>
      </c>
      <c r="AO90" s="43">
        <f>G90*0.714325068870523</f>
        <v>0</v>
      </c>
      <c r="AP90" s="43">
        <f>G90*(1-0.714325068870523)</f>
        <v>0</v>
      </c>
      <c r="AQ90" s="62" t="s">
        <v>375</v>
      </c>
      <c r="AV90" s="43">
        <f t="shared" si="102"/>
        <v>0</v>
      </c>
      <c r="AW90" s="43">
        <f t="shared" si="103"/>
        <v>0</v>
      </c>
      <c r="AX90" s="43">
        <f t="shared" si="104"/>
        <v>0</v>
      </c>
      <c r="AY90" s="62" t="s">
        <v>78</v>
      </c>
      <c r="AZ90" s="62" t="s">
        <v>338</v>
      </c>
      <c r="BA90" s="65" t="s">
        <v>275</v>
      </c>
      <c r="BC90" s="43">
        <f t="shared" si="105"/>
        <v>0</v>
      </c>
      <c r="BD90" s="43">
        <f t="shared" si="106"/>
        <v>0</v>
      </c>
      <c r="BE90" s="43">
        <v>0</v>
      </c>
      <c r="BF90" s="43">
        <f>90</f>
        <v>90</v>
      </c>
      <c r="BH90" s="43">
        <f t="shared" si="107"/>
        <v>0</v>
      </c>
      <c r="BI90" s="43">
        <f t="shared" si="108"/>
        <v>0</v>
      </c>
      <c r="BJ90" s="43">
        <f t="shared" si="109"/>
        <v>0</v>
      </c>
      <c r="BK90" s="43"/>
      <c r="BL90" s="43">
        <v>734</v>
      </c>
      <c r="BW90" s="43">
        <v>21</v>
      </c>
    </row>
    <row r="91" spans="1:75" ht="27" customHeight="1">
      <c r="A91" s="6" t="s">
        <v>245</v>
      </c>
      <c r="B91" s="25" t="s">
        <v>89</v>
      </c>
      <c r="C91" s="102" t="s">
        <v>229</v>
      </c>
      <c r="D91" s="103"/>
      <c r="E91" s="25" t="s">
        <v>99</v>
      </c>
      <c r="F91" s="15">
        <v>16</v>
      </c>
      <c r="G91" s="75">
        <v>0</v>
      </c>
      <c r="H91" s="15">
        <f t="shared" si="88"/>
        <v>0</v>
      </c>
      <c r="I91" s="15">
        <f t="shared" si="89"/>
        <v>0</v>
      </c>
      <c r="J91" s="15">
        <f t="shared" si="90"/>
        <v>0</v>
      </c>
      <c r="K91" s="22" t="s">
        <v>250</v>
      </c>
      <c r="L91" s="8"/>
      <c r="Z91" s="43">
        <f t="shared" si="91"/>
        <v>0</v>
      </c>
      <c r="AB91" s="43">
        <f t="shared" si="92"/>
        <v>0</v>
      </c>
      <c r="AC91" s="43">
        <f t="shared" si="93"/>
        <v>0</v>
      </c>
      <c r="AD91" s="43">
        <f t="shared" si="94"/>
        <v>0</v>
      </c>
      <c r="AE91" s="43">
        <f t="shared" si="95"/>
        <v>0</v>
      </c>
      <c r="AF91" s="43">
        <f t="shared" si="96"/>
        <v>0</v>
      </c>
      <c r="AG91" s="43">
        <f t="shared" si="97"/>
        <v>0</v>
      </c>
      <c r="AH91" s="43">
        <f t="shared" si="98"/>
        <v>0</v>
      </c>
      <c r="AI91" s="65" t="s">
        <v>255</v>
      </c>
      <c r="AJ91" s="43">
        <f t="shared" si="99"/>
        <v>0</v>
      </c>
      <c r="AK91" s="43">
        <f t="shared" si="100"/>
        <v>0</v>
      </c>
      <c r="AL91" s="43">
        <f t="shared" si="101"/>
        <v>0</v>
      </c>
      <c r="AN91" s="43">
        <v>21</v>
      </c>
      <c r="AO91" s="43">
        <f>G91*0.904574898785425</f>
        <v>0</v>
      </c>
      <c r="AP91" s="43">
        <f>G91*(1-0.904574898785425)</f>
        <v>0</v>
      </c>
      <c r="AQ91" s="62" t="s">
        <v>375</v>
      </c>
      <c r="AV91" s="43">
        <f t="shared" si="102"/>
        <v>0</v>
      </c>
      <c r="AW91" s="43">
        <f t="shared" si="103"/>
        <v>0</v>
      </c>
      <c r="AX91" s="43">
        <f t="shared" si="104"/>
        <v>0</v>
      </c>
      <c r="AY91" s="62" t="s">
        <v>78</v>
      </c>
      <c r="AZ91" s="62" t="s">
        <v>338</v>
      </c>
      <c r="BA91" s="65" t="s">
        <v>275</v>
      </c>
      <c r="BC91" s="43">
        <f t="shared" si="105"/>
        <v>0</v>
      </c>
      <c r="BD91" s="43">
        <f t="shared" si="106"/>
        <v>0</v>
      </c>
      <c r="BE91" s="43">
        <v>0</v>
      </c>
      <c r="BF91" s="43">
        <f>91</f>
        <v>91</v>
      </c>
      <c r="BH91" s="43">
        <f t="shared" si="107"/>
        <v>0</v>
      </c>
      <c r="BI91" s="43">
        <f t="shared" si="108"/>
        <v>0</v>
      </c>
      <c r="BJ91" s="43">
        <f t="shared" si="109"/>
        <v>0</v>
      </c>
      <c r="BK91" s="43"/>
      <c r="BL91" s="43">
        <v>734</v>
      </c>
      <c r="BW91" s="43">
        <v>21</v>
      </c>
    </row>
    <row r="92" spans="1:75" ht="13.5" customHeight="1">
      <c r="A92" s="6" t="s">
        <v>194</v>
      </c>
      <c r="B92" s="25" t="s">
        <v>84</v>
      </c>
      <c r="C92" s="102" t="s">
        <v>308</v>
      </c>
      <c r="D92" s="103"/>
      <c r="E92" s="25" t="s">
        <v>99</v>
      </c>
      <c r="F92" s="15">
        <v>34</v>
      </c>
      <c r="G92" s="75">
        <v>0</v>
      </c>
      <c r="H92" s="15">
        <f t="shared" si="88"/>
        <v>0</v>
      </c>
      <c r="I92" s="15">
        <f t="shared" si="89"/>
        <v>0</v>
      </c>
      <c r="J92" s="15">
        <f t="shared" si="90"/>
        <v>0</v>
      </c>
      <c r="K92" s="22" t="s">
        <v>250</v>
      </c>
      <c r="L92" s="8"/>
      <c r="Z92" s="43">
        <f t="shared" si="91"/>
        <v>0</v>
      </c>
      <c r="AB92" s="43">
        <f t="shared" si="92"/>
        <v>0</v>
      </c>
      <c r="AC92" s="43">
        <f t="shared" si="93"/>
        <v>0</v>
      </c>
      <c r="AD92" s="43">
        <f t="shared" si="94"/>
        <v>0</v>
      </c>
      <c r="AE92" s="43">
        <f t="shared" si="95"/>
        <v>0</v>
      </c>
      <c r="AF92" s="43">
        <f t="shared" si="96"/>
        <v>0</v>
      </c>
      <c r="AG92" s="43">
        <f t="shared" si="97"/>
        <v>0</v>
      </c>
      <c r="AH92" s="43">
        <f t="shared" si="98"/>
        <v>0</v>
      </c>
      <c r="AI92" s="65" t="s">
        <v>255</v>
      </c>
      <c r="AJ92" s="43">
        <f t="shared" si="99"/>
        <v>0</v>
      </c>
      <c r="AK92" s="43">
        <f t="shared" si="100"/>
        <v>0</v>
      </c>
      <c r="AL92" s="43">
        <f t="shared" si="101"/>
        <v>0</v>
      </c>
      <c r="AN92" s="43">
        <v>21</v>
      </c>
      <c r="AO92" s="43">
        <f>G92*0.24735632183908</f>
        <v>0</v>
      </c>
      <c r="AP92" s="43">
        <f>G92*(1-0.24735632183908)</f>
        <v>0</v>
      </c>
      <c r="AQ92" s="62" t="s">
        <v>375</v>
      </c>
      <c r="AV92" s="43">
        <f t="shared" si="102"/>
        <v>0</v>
      </c>
      <c r="AW92" s="43">
        <f t="shared" si="103"/>
        <v>0</v>
      </c>
      <c r="AX92" s="43">
        <f t="shared" si="104"/>
        <v>0</v>
      </c>
      <c r="AY92" s="62" t="s">
        <v>78</v>
      </c>
      <c r="AZ92" s="62" t="s">
        <v>338</v>
      </c>
      <c r="BA92" s="65" t="s">
        <v>275</v>
      </c>
      <c r="BC92" s="43">
        <f t="shared" si="105"/>
        <v>0</v>
      </c>
      <c r="BD92" s="43">
        <f t="shared" si="106"/>
        <v>0</v>
      </c>
      <c r="BE92" s="43">
        <v>0</v>
      </c>
      <c r="BF92" s="43">
        <f>92</f>
        <v>92</v>
      </c>
      <c r="BH92" s="43">
        <f t="shared" si="107"/>
        <v>0</v>
      </c>
      <c r="BI92" s="43">
        <f t="shared" si="108"/>
        <v>0</v>
      </c>
      <c r="BJ92" s="43">
        <f t="shared" si="109"/>
        <v>0</v>
      </c>
      <c r="BK92" s="43"/>
      <c r="BL92" s="43">
        <v>734</v>
      </c>
      <c r="BW92" s="43">
        <v>21</v>
      </c>
    </row>
    <row r="93" spans="1:75" ht="27" customHeight="1">
      <c r="A93" s="6" t="s">
        <v>92</v>
      </c>
      <c r="B93" s="25" t="s">
        <v>175</v>
      </c>
      <c r="C93" s="102" t="s">
        <v>81</v>
      </c>
      <c r="D93" s="103"/>
      <c r="E93" s="25" t="s">
        <v>99</v>
      </c>
      <c r="F93" s="15">
        <v>2</v>
      </c>
      <c r="G93" s="75">
        <v>0</v>
      </c>
      <c r="H93" s="15">
        <f t="shared" si="88"/>
        <v>0</v>
      </c>
      <c r="I93" s="15">
        <f t="shared" si="89"/>
        <v>0</v>
      </c>
      <c r="J93" s="15">
        <f t="shared" si="90"/>
        <v>0</v>
      </c>
      <c r="K93" s="22" t="s">
        <v>250</v>
      </c>
      <c r="L93" s="8"/>
      <c r="Z93" s="43">
        <f t="shared" si="91"/>
        <v>0</v>
      </c>
      <c r="AB93" s="43">
        <f t="shared" si="92"/>
        <v>0</v>
      </c>
      <c r="AC93" s="43">
        <f t="shared" si="93"/>
        <v>0</v>
      </c>
      <c r="AD93" s="43">
        <f t="shared" si="94"/>
        <v>0</v>
      </c>
      <c r="AE93" s="43">
        <f t="shared" si="95"/>
        <v>0</v>
      </c>
      <c r="AF93" s="43">
        <f t="shared" si="96"/>
        <v>0</v>
      </c>
      <c r="AG93" s="43">
        <f t="shared" si="97"/>
        <v>0</v>
      </c>
      <c r="AH93" s="43">
        <f t="shared" si="98"/>
        <v>0</v>
      </c>
      <c r="AI93" s="65" t="s">
        <v>255</v>
      </c>
      <c r="AJ93" s="43">
        <f t="shared" si="99"/>
        <v>0</v>
      </c>
      <c r="AK93" s="43">
        <f t="shared" si="100"/>
        <v>0</v>
      </c>
      <c r="AL93" s="43">
        <f t="shared" si="101"/>
        <v>0</v>
      </c>
      <c r="AN93" s="43">
        <v>21</v>
      </c>
      <c r="AO93" s="43">
        <f>G93*0.676946020079359</f>
        <v>0</v>
      </c>
      <c r="AP93" s="43">
        <f>G93*(1-0.676946020079359)</f>
        <v>0</v>
      </c>
      <c r="AQ93" s="62" t="s">
        <v>375</v>
      </c>
      <c r="AV93" s="43">
        <f t="shared" si="102"/>
        <v>0</v>
      </c>
      <c r="AW93" s="43">
        <f t="shared" si="103"/>
        <v>0</v>
      </c>
      <c r="AX93" s="43">
        <f t="shared" si="104"/>
        <v>0</v>
      </c>
      <c r="AY93" s="62" t="s">
        <v>78</v>
      </c>
      <c r="AZ93" s="62" t="s">
        <v>338</v>
      </c>
      <c r="BA93" s="65" t="s">
        <v>275</v>
      </c>
      <c r="BC93" s="43">
        <f t="shared" si="105"/>
        <v>0</v>
      </c>
      <c r="BD93" s="43">
        <f t="shared" si="106"/>
        <v>0</v>
      </c>
      <c r="BE93" s="43">
        <v>0</v>
      </c>
      <c r="BF93" s="43">
        <f>93</f>
        <v>93</v>
      </c>
      <c r="BH93" s="43">
        <f t="shared" si="107"/>
        <v>0</v>
      </c>
      <c r="BI93" s="43">
        <f t="shared" si="108"/>
        <v>0</v>
      </c>
      <c r="BJ93" s="43">
        <f t="shared" si="109"/>
        <v>0</v>
      </c>
      <c r="BK93" s="43"/>
      <c r="BL93" s="43">
        <v>734</v>
      </c>
      <c r="BW93" s="43">
        <v>21</v>
      </c>
    </row>
    <row r="94" spans="1:75" ht="13.5" customHeight="1">
      <c r="A94" s="6" t="s">
        <v>38</v>
      </c>
      <c r="B94" s="25" t="s">
        <v>113</v>
      </c>
      <c r="C94" s="102" t="s">
        <v>72</v>
      </c>
      <c r="D94" s="103"/>
      <c r="E94" s="25" t="s">
        <v>99</v>
      </c>
      <c r="F94" s="15">
        <v>16</v>
      </c>
      <c r="G94" s="75">
        <v>0</v>
      </c>
      <c r="H94" s="15">
        <f t="shared" si="88"/>
        <v>0</v>
      </c>
      <c r="I94" s="15">
        <f t="shared" si="89"/>
        <v>0</v>
      </c>
      <c r="J94" s="15">
        <f t="shared" si="90"/>
        <v>0</v>
      </c>
      <c r="K94" s="22" t="s">
        <v>250</v>
      </c>
      <c r="L94" s="8"/>
      <c r="Z94" s="43">
        <f t="shared" si="91"/>
        <v>0</v>
      </c>
      <c r="AB94" s="43">
        <f t="shared" si="92"/>
        <v>0</v>
      </c>
      <c r="AC94" s="43">
        <f t="shared" si="93"/>
        <v>0</v>
      </c>
      <c r="AD94" s="43">
        <f t="shared" si="94"/>
        <v>0</v>
      </c>
      <c r="AE94" s="43">
        <f t="shared" si="95"/>
        <v>0</v>
      </c>
      <c r="AF94" s="43">
        <f t="shared" si="96"/>
        <v>0</v>
      </c>
      <c r="AG94" s="43">
        <f t="shared" si="97"/>
        <v>0</v>
      </c>
      <c r="AH94" s="43">
        <f t="shared" si="98"/>
        <v>0</v>
      </c>
      <c r="AI94" s="65" t="s">
        <v>255</v>
      </c>
      <c r="AJ94" s="43">
        <f t="shared" si="99"/>
        <v>0</v>
      </c>
      <c r="AK94" s="43">
        <f t="shared" si="100"/>
        <v>0</v>
      </c>
      <c r="AL94" s="43">
        <f t="shared" si="101"/>
        <v>0</v>
      </c>
      <c r="AN94" s="43">
        <v>21</v>
      </c>
      <c r="AO94" s="43">
        <f>G94*0.0155130325222458</f>
        <v>0</v>
      </c>
      <c r="AP94" s="43">
        <f>G94*(1-0.0155130325222458)</f>
        <v>0</v>
      </c>
      <c r="AQ94" s="62" t="s">
        <v>375</v>
      </c>
      <c r="AV94" s="43">
        <f t="shared" si="102"/>
        <v>0</v>
      </c>
      <c r="AW94" s="43">
        <f t="shared" si="103"/>
        <v>0</v>
      </c>
      <c r="AX94" s="43">
        <f t="shared" si="104"/>
        <v>0</v>
      </c>
      <c r="AY94" s="62" t="s">
        <v>78</v>
      </c>
      <c r="AZ94" s="62" t="s">
        <v>338</v>
      </c>
      <c r="BA94" s="65" t="s">
        <v>275</v>
      </c>
      <c r="BC94" s="43">
        <f t="shared" si="105"/>
        <v>0</v>
      </c>
      <c r="BD94" s="43">
        <f t="shared" si="106"/>
        <v>0</v>
      </c>
      <c r="BE94" s="43">
        <v>0</v>
      </c>
      <c r="BF94" s="43">
        <f>94</f>
        <v>94</v>
      </c>
      <c r="BH94" s="43">
        <f t="shared" si="107"/>
        <v>0</v>
      </c>
      <c r="BI94" s="43">
        <f t="shared" si="108"/>
        <v>0</v>
      </c>
      <c r="BJ94" s="43">
        <f t="shared" si="109"/>
        <v>0</v>
      </c>
      <c r="BK94" s="43"/>
      <c r="BL94" s="43">
        <v>734</v>
      </c>
      <c r="BW94" s="43">
        <v>21</v>
      </c>
    </row>
    <row r="95" spans="1:75" ht="27" customHeight="1">
      <c r="A95" s="53" t="s">
        <v>365</v>
      </c>
      <c r="B95" s="12" t="s">
        <v>254</v>
      </c>
      <c r="C95" s="88" t="s">
        <v>259</v>
      </c>
      <c r="D95" s="83"/>
      <c r="E95" s="12" t="s">
        <v>99</v>
      </c>
      <c r="F95" s="43">
        <v>16</v>
      </c>
      <c r="G95" s="75">
        <v>0</v>
      </c>
      <c r="H95" s="43">
        <f t="shared" si="88"/>
        <v>0</v>
      </c>
      <c r="I95" s="43">
        <f t="shared" si="89"/>
        <v>0</v>
      </c>
      <c r="J95" s="43">
        <f t="shared" si="90"/>
        <v>0</v>
      </c>
      <c r="K95" s="62" t="s">
        <v>250</v>
      </c>
      <c r="L95" s="8"/>
      <c r="Z95" s="43">
        <f t="shared" si="91"/>
        <v>0</v>
      </c>
      <c r="AB95" s="43">
        <f t="shared" si="92"/>
        <v>0</v>
      </c>
      <c r="AC95" s="43">
        <f t="shared" si="93"/>
        <v>0</v>
      </c>
      <c r="AD95" s="43">
        <f t="shared" si="94"/>
        <v>0</v>
      </c>
      <c r="AE95" s="43">
        <f t="shared" si="95"/>
        <v>0</v>
      </c>
      <c r="AF95" s="43">
        <f t="shared" si="96"/>
        <v>0</v>
      </c>
      <c r="AG95" s="43">
        <f t="shared" si="97"/>
        <v>0</v>
      </c>
      <c r="AH95" s="43">
        <f t="shared" si="98"/>
        <v>0</v>
      </c>
      <c r="AI95" s="65" t="s">
        <v>255</v>
      </c>
      <c r="AJ95" s="43">
        <f t="shared" si="99"/>
        <v>0</v>
      </c>
      <c r="AK95" s="43">
        <f t="shared" si="100"/>
        <v>0</v>
      </c>
      <c r="AL95" s="43">
        <f t="shared" si="101"/>
        <v>0</v>
      </c>
      <c r="AN95" s="43">
        <v>21</v>
      </c>
      <c r="AO95" s="43">
        <f>G95*0.00554133498354477</f>
        <v>0</v>
      </c>
      <c r="AP95" s="43">
        <f>G95*(1-0.00554133498354477)</f>
        <v>0</v>
      </c>
      <c r="AQ95" s="62" t="s">
        <v>375</v>
      </c>
      <c r="AV95" s="43">
        <f t="shared" si="102"/>
        <v>0</v>
      </c>
      <c r="AW95" s="43">
        <f t="shared" si="103"/>
        <v>0</v>
      </c>
      <c r="AX95" s="43">
        <f t="shared" si="104"/>
        <v>0</v>
      </c>
      <c r="AY95" s="62" t="s">
        <v>78</v>
      </c>
      <c r="AZ95" s="62" t="s">
        <v>338</v>
      </c>
      <c r="BA95" s="65" t="s">
        <v>275</v>
      </c>
      <c r="BC95" s="43">
        <f t="shared" si="105"/>
        <v>0</v>
      </c>
      <c r="BD95" s="43">
        <f t="shared" si="106"/>
        <v>0</v>
      </c>
      <c r="BE95" s="43">
        <v>0</v>
      </c>
      <c r="BF95" s="43">
        <f>95</f>
        <v>95</v>
      </c>
      <c r="BH95" s="43">
        <f t="shared" si="107"/>
        <v>0</v>
      </c>
      <c r="BI95" s="43">
        <f t="shared" si="108"/>
        <v>0</v>
      </c>
      <c r="BJ95" s="43">
        <f t="shared" si="109"/>
        <v>0</v>
      </c>
      <c r="BK95" s="43"/>
      <c r="BL95" s="43">
        <v>734</v>
      </c>
      <c r="BW95" s="43">
        <v>21</v>
      </c>
    </row>
    <row r="96" spans="1:75" ht="27" customHeight="1">
      <c r="A96" s="53" t="s">
        <v>71</v>
      </c>
      <c r="B96" s="12" t="s">
        <v>325</v>
      </c>
      <c r="C96" s="88" t="s">
        <v>186</v>
      </c>
      <c r="D96" s="83"/>
      <c r="E96" s="12" t="s">
        <v>129</v>
      </c>
      <c r="F96" s="43">
        <v>12</v>
      </c>
      <c r="G96" s="75">
        <v>0</v>
      </c>
      <c r="H96" s="43">
        <f t="shared" si="88"/>
        <v>0</v>
      </c>
      <c r="I96" s="43">
        <f t="shared" si="89"/>
        <v>0</v>
      </c>
      <c r="J96" s="43">
        <f t="shared" si="90"/>
        <v>0</v>
      </c>
      <c r="K96" s="62" t="s">
        <v>250</v>
      </c>
      <c r="L96" s="8"/>
      <c r="Z96" s="43">
        <f t="shared" si="91"/>
        <v>0</v>
      </c>
      <c r="AB96" s="43">
        <f t="shared" si="92"/>
        <v>0</v>
      </c>
      <c r="AC96" s="43">
        <f t="shared" si="93"/>
        <v>0</v>
      </c>
      <c r="AD96" s="43">
        <f t="shared" si="94"/>
        <v>0</v>
      </c>
      <c r="AE96" s="43">
        <f t="shared" si="95"/>
        <v>0</v>
      </c>
      <c r="AF96" s="43">
        <f t="shared" si="96"/>
        <v>0</v>
      </c>
      <c r="AG96" s="43">
        <f t="shared" si="97"/>
        <v>0</v>
      </c>
      <c r="AH96" s="43">
        <f t="shared" si="98"/>
        <v>0</v>
      </c>
      <c r="AI96" s="65" t="s">
        <v>255</v>
      </c>
      <c r="AJ96" s="43">
        <f t="shared" si="99"/>
        <v>0</v>
      </c>
      <c r="AK96" s="43">
        <f t="shared" si="100"/>
        <v>0</v>
      </c>
      <c r="AL96" s="43">
        <f t="shared" si="101"/>
        <v>0</v>
      </c>
      <c r="AN96" s="43">
        <v>21</v>
      </c>
      <c r="AO96" s="43">
        <f>G96*0.567074185732517</f>
        <v>0</v>
      </c>
      <c r="AP96" s="43">
        <f>G96*(1-0.567074185732517)</f>
        <v>0</v>
      </c>
      <c r="AQ96" s="62" t="s">
        <v>375</v>
      </c>
      <c r="AV96" s="43">
        <f t="shared" si="102"/>
        <v>0</v>
      </c>
      <c r="AW96" s="43">
        <f t="shared" si="103"/>
        <v>0</v>
      </c>
      <c r="AX96" s="43">
        <f t="shared" si="104"/>
        <v>0</v>
      </c>
      <c r="AY96" s="62" t="s">
        <v>78</v>
      </c>
      <c r="AZ96" s="62" t="s">
        <v>338</v>
      </c>
      <c r="BA96" s="65" t="s">
        <v>275</v>
      </c>
      <c r="BC96" s="43">
        <f t="shared" si="105"/>
        <v>0</v>
      </c>
      <c r="BD96" s="43">
        <f t="shared" si="106"/>
        <v>0</v>
      </c>
      <c r="BE96" s="43">
        <v>0</v>
      </c>
      <c r="BF96" s="43">
        <f>96</f>
        <v>96</v>
      </c>
      <c r="BH96" s="43">
        <f t="shared" si="107"/>
        <v>0</v>
      </c>
      <c r="BI96" s="43">
        <f t="shared" si="108"/>
        <v>0</v>
      </c>
      <c r="BJ96" s="43">
        <f t="shared" si="109"/>
        <v>0</v>
      </c>
      <c r="BK96" s="43"/>
      <c r="BL96" s="43">
        <v>734</v>
      </c>
      <c r="BW96" s="43">
        <v>21</v>
      </c>
    </row>
    <row r="97" spans="1:75" ht="27" customHeight="1">
      <c r="A97" s="53" t="s">
        <v>76</v>
      </c>
      <c r="B97" s="12" t="s">
        <v>220</v>
      </c>
      <c r="C97" s="88" t="s">
        <v>120</v>
      </c>
      <c r="D97" s="83"/>
      <c r="E97" s="12" t="s">
        <v>129</v>
      </c>
      <c r="F97" s="43">
        <v>4</v>
      </c>
      <c r="G97" s="75">
        <v>0</v>
      </c>
      <c r="H97" s="43">
        <f t="shared" si="88"/>
        <v>0</v>
      </c>
      <c r="I97" s="43">
        <f t="shared" si="89"/>
        <v>0</v>
      </c>
      <c r="J97" s="43">
        <f t="shared" si="90"/>
        <v>0</v>
      </c>
      <c r="K97" s="62" t="s">
        <v>250</v>
      </c>
      <c r="L97" s="8"/>
      <c r="Z97" s="43">
        <f t="shared" si="91"/>
        <v>0</v>
      </c>
      <c r="AB97" s="43">
        <f t="shared" si="92"/>
        <v>0</v>
      </c>
      <c r="AC97" s="43">
        <f t="shared" si="93"/>
        <v>0</v>
      </c>
      <c r="AD97" s="43">
        <f t="shared" si="94"/>
        <v>0</v>
      </c>
      <c r="AE97" s="43">
        <f t="shared" si="95"/>
        <v>0</v>
      </c>
      <c r="AF97" s="43">
        <f t="shared" si="96"/>
        <v>0</v>
      </c>
      <c r="AG97" s="43">
        <f t="shared" si="97"/>
        <v>0</v>
      </c>
      <c r="AH97" s="43">
        <f t="shared" si="98"/>
        <v>0</v>
      </c>
      <c r="AI97" s="65" t="s">
        <v>255</v>
      </c>
      <c r="AJ97" s="43">
        <f t="shared" si="99"/>
        <v>0</v>
      </c>
      <c r="AK97" s="43">
        <f t="shared" si="100"/>
        <v>0</v>
      </c>
      <c r="AL97" s="43">
        <f t="shared" si="101"/>
        <v>0</v>
      </c>
      <c r="AN97" s="43">
        <v>21</v>
      </c>
      <c r="AO97" s="43">
        <f>G97*0.494606403013183</f>
        <v>0</v>
      </c>
      <c r="AP97" s="43">
        <f>G97*(1-0.494606403013183)</f>
        <v>0</v>
      </c>
      <c r="AQ97" s="62" t="s">
        <v>375</v>
      </c>
      <c r="AV97" s="43">
        <f t="shared" si="102"/>
        <v>0</v>
      </c>
      <c r="AW97" s="43">
        <f t="shared" si="103"/>
        <v>0</v>
      </c>
      <c r="AX97" s="43">
        <f t="shared" si="104"/>
        <v>0</v>
      </c>
      <c r="AY97" s="62" t="s">
        <v>78</v>
      </c>
      <c r="AZ97" s="62" t="s">
        <v>338</v>
      </c>
      <c r="BA97" s="65" t="s">
        <v>275</v>
      </c>
      <c r="BC97" s="43">
        <f t="shared" si="105"/>
        <v>0</v>
      </c>
      <c r="BD97" s="43">
        <f t="shared" si="106"/>
        <v>0</v>
      </c>
      <c r="BE97" s="43">
        <v>0</v>
      </c>
      <c r="BF97" s="43">
        <f>97</f>
        <v>97</v>
      </c>
      <c r="BH97" s="43">
        <f t="shared" si="107"/>
        <v>0</v>
      </c>
      <c r="BI97" s="43">
        <f t="shared" si="108"/>
        <v>0</v>
      </c>
      <c r="BJ97" s="43">
        <f t="shared" si="109"/>
        <v>0</v>
      </c>
      <c r="BK97" s="43"/>
      <c r="BL97" s="43">
        <v>734</v>
      </c>
      <c r="BW97" s="43">
        <v>21</v>
      </c>
    </row>
    <row r="98" spans="1:75" ht="27" customHeight="1">
      <c r="A98" s="53" t="s">
        <v>382</v>
      </c>
      <c r="B98" s="12" t="s">
        <v>111</v>
      </c>
      <c r="C98" s="88" t="s">
        <v>115</v>
      </c>
      <c r="D98" s="83"/>
      <c r="E98" s="12" t="s">
        <v>99</v>
      </c>
      <c r="F98" s="43">
        <v>12</v>
      </c>
      <c r="G98" s="75">
        <v>0</v>
      </c>
      <c r="H98" s="43">
        <f t="shared" si="88"/>
        <v>0</v>
      </c>
      <c r="I98" s="43">
        <f t="shared" si="89"/>
        <v>0</v>
      </c>
      <c r="J98" s="43">
        <f t="shared" si="90"/>
        <v>0</v>
      </c>
      <c r="K98" s="62" t="s">
        <v>250</v>
      </c>
      <c r="L98" s="8"/>
      <c r="Z98" s="43">
        <f t="shared" si="91"/>
        <v>0</v>
      </c>
      <c r="AB98" s="43">
        <f t="shared" si="92"/>
        <v>0</v>
      </c>
      <c r="AC98" s="43">
        <f t="shared" si="93"/>
        <v>0</v>
      </c>
      <c r="AD98" s="43">
        <f t="shared" si="94"/>
        <v>0</v>
      </c>
      <c r="AE98" s="43">
        <f t="shared" si="95"/>
        <v>0</v>
      </c>
      <c r="AF98" s="43">
        <f t="shared" si="96"/>
        <v>0</v>
      </c>
      <c r="AG98" s="43">
        <f t="shared" si="97"/>
        <v>0</v>
      </c>
      <c r="AH98" s="43">
        <f t="shared" si="98"/>
        <v>0</v>
      </c>
      <c r="AI98" s="65" t="s">
        <v>255</v>
      </c>
      <c r="AJ98" s="43">
        <f t="shared" si="99"/>
        <v>0</v>
      </c>
      <c r="AK98" s="43">
        <f t="shared" si="100"/>
        <v>0</v>
      </c>
      <c r="AL98" s="43">
        <f t="shared" si="101"/>
        <v>0</v>
      </c>
      <c r="AN98" s="43">
        <v>21</v>
      </c>
      <c r="AO98" s="43">
        <f>G98*0</f>
        <v>0</v>
      </c>
      <c r="AP98" s="43">
        <f>G98*(1-0)</f>
        <v>0</v>
      </c>
      <c r="AQ98" s="62" t="s">
        <v>251</v>
      </c>
      <c r="AV98" s="43">
        <f t="shared" si="102"/>
        <v>0</v>
      </c>
      <c r="AW98" s="43">
        <f t="shared" si="103"/>
        <v>0</v>
      </c>
      <c r="AX98" s="43">
        <f t="shared" si="104"/>
        <v>0</v>
      </c>
      <c r="AY98" s="62" t="s">
        <v>78</v>
      </c>
      <c r="AZ98" s="62" t="s">
        <v>338</v>
      </c>
      <c r="BA98" s="65" t="s">
        <v>275</v>
      </c>
      <c r="BC98" s="43">
        <f t="shared" si="105"/>
        <v>0</v>
      </c>
      <c r="BD98" s="43">
        <f t="shared" si="106"/>
        <v>0</v>
      </c>
      <c r="BE98" s="43">
        <v>0</v>
      </c>
      <c r="BF98" s="43">
        <f>98</f>
        <v>98</v>
      </c>
      <c r="BH98" s="43">
        <f t="shared" si="107"/>
        <v>0</v>
      </c>
      <c r="BI98" s="43">
        <f t="shared" si="108"/>
        <v>0</v>
      </c>
      <c r="BJ98" s="43">
        <f t="shared" si="109"/>
        <v>0</v>
      </c>
      <c r="BK98" s="43"/>
      <c r="BL98" s="43">
        <v>734</v>
      </c>
      <c r="BW98" s="43">
        <v>21</v>
      </c>
    </row>
    <row r="99" spans="1:75" ht="27" customHeight="1">
      <c r="A99" s="53" t="s">
        <v>216</v>
      </c>
      <c r="B99" s="12" t="s">
        <v>299</v>
      </c>
      <c r="C99" s="88" t="s">
        <v>332</v>
      </c>
      <c r="D99" s="83"/>
      <c r="E99" s="12" t="s">
        <v>99</v>
      </c>
      <c r="F99" s="43">
        <v>4</v>
      </c>
      <c r="G99" s="75">
        <v>0</v>
      </c>
      <c r="H99" s="43">
        <f t="shared" si="88"/>
        <v>0</v>
      </c>
      <c r="I99" s="43">
        <f t="shared" si="89"/>
        <v>0</v>
      </c>
      <c r="J99" s="43">
        <f t="shared" si="90"/>
        <v>0</v>
      </c>
      <c r="K99" s="62" t="s">
        <v>250</v>
      </c>
      <c r="L99" s="8"/>
      <c r="Z99" s="43">
        <f t="shared" si="91"/>
        <v>0</v>
      </c>
      <c r="AB99" s="43">
        <f t="shared" si="92"/>
        <v>0</v>
      </c>
      <c r="AC99" s="43">
        <f t="shared" si="93"/>
        <v>0</v>
      </c>
      <c r="AD99" s="43">
        <f t="shared" si="94"/>
        <v>0</v>
      </c>
      <c r="AE99" s="43">
        <f t="shared" si="95"/>
        <v>0</v>
      </c>
      <c r="AF99" s="43">
        <f t="shared" si="96"/>
        <v>0</v>
      </c>
      <c r="AG99" s="43">
        <f t="shared" si="97"/>
        <v>0</v>
      </c>
      <c r="AH99" s="43">
        <f t="shared" si="98"/>
        <v>0</v>
      </c>
      <c r="AI99" s="65" t="s">
        <v>255</v>
      </c>
      <c r="AJ99" s="43">
        <f t="shared" si="99"/>
        <v>0</v>
      </c>
      <c r="AK99" s="43">
        <f t="shared" si="100"/>
        <v>0</v>
      </c>
      <c r="AL99" s="43">
        <f t="shared" si="101"/>
        <v>0</v>
      </c>
      <c r="AN99" s="43">
        <v>21</v>
      </c>
      <c r="AO99" s="43">
        <f>G99*0</f>
        <v>0</v>
      </c>
      <c r="AP99" s="43">
        <f>G99*(1-0)</f>
        <v>0</v>
      </c>
      <c r="AQ99" s="62" t="s">
        <v>251</v>
      </c>
      <c r="AV99" s="43">
        <f t="shared" si="102"/>
        <v>0</v>
      </c>
      <c r="AW99" s="43">
        <f t="shared" si="103"/>
        <v>0</v>
      </c>
      <c r="AX99" s="43">
        <f t="shared" si="104"/>
        <v>0</v>
      </c>
      <c r="AY99" s="62" t="s">
        <v>78</v>
      </c>
      <c r="AZ99" s="62" t="s">
        <v>338</v>
      </c>
      <c r="BA99" s="65" t="s">
        <v>275</v>
      </c>
      <c r="BC99" s="43">
        <f t="shared" si="105"/>
        <v>0</v>
      </c>
      <c r="BD99" s="43">
        <f t="shared" si="106"/>
        <v>0</v>
      </c>
      <c r="BE99" s="43">
        <v>0</v>
      </c>
      <c r="BF99" s="43">
        <f>99</f>
        <v>99</v>
      </c>
      <c r="BH99" s="43">
        <f t="shared" si="107"/>
        <v>0</v>
      </c>
      <c r="BI99" s="43">
        <f t="shared" si="108"/>
        <v>0</v>
      </c>
      <c r="BJ99" s="43">
        <f t="shared" si="109"/>
        <v>0</v>
      </c>
      <c r="BK99" s="43"/>
      <c r="BL99" s="43">
        <v>734</v>
      </c>
      <c r="BW99" s="43">
        <v>21</v>
      </c>
    </row>
    <row r="100" spans="1:75" ht="27" customHeight="1">
      <c r="A100" s="53" t="s">
        <v>182</v>
      </c>
      <c r="B100" s="12" t="s">
        <v>254</v>
      </c>
      <c r="C100" s="88" t="s">
        <v>259</v>
      </c>
      <c r="D100" s="83"/>
      <c r="E100" s="12" t="s">
        <v>99</v>
      </c>
      <c r="F100" s="43">
        <v>4</v>
      </c>
      <c r="G100" s="75">
        <v>0</v>
      </c>
      <c r="H100" s="43">
        <f t="shared" si="88"/>
        <v>0</v>
      </c>
      <c r="I100" s="43">
        <f t="shared" si="89"/>
        <v>0</v>
      </c>
      <c r="J100" s="43">
        <f t="shared" si="90"/>
        <v>0</v>
      </c>
      <c r="K100" s="62" t="s">
        <v>250</v>
      </c>
      <c r="L100" s="8"/>
      <c r="Z100" s="43">
        <f t="shared" si="91"/>
        <v>0</v>
      </c>
      <c r="AB100" s="43">
        <f t="shared" si="92"/>
        <v>0</v>
      </c>
      <c r="AC100" s="43">
        <f t="shared" si="93"/>
        <v>0</v>
      </c>
      <c r="AD100" s="43">
        <f t="shared" si="94"/>
        <v>0</v>
      </c>
      <c r="AE100" s="43">
        <f t="shared" si="95"/>
        <v>0</v>
      </c>
      <c r="AF100" s="43">
        <f t="shared" si="96"/>
        <v>0</v>
      </c>
      <c r="AG100" s="43">
        <f t="shared" si="97"/>
        <v>0</v>
      </c>
      <c r="AH100" s="43">
        <f t="shared" si="98"/>
        <v>0</v>
      </c>
      <c r="AI100" s="65" t="s">
        <v>255</v>
      </c>
      <c r="AJ100" s="43">
        <f t="shared" si="99"/>
        <v>0</v>
      </c>
      <c r="AK100" s="43">
        <f t="shared" si="100"/>
        <v>0</v>
      </c>
      <c r="AL100" s="43">
        <f t="shared" si="101"/>
        <v>0</v>
      </c>
      <c r="AN100" s="43">
        <v>21</v>
      </c>
      <c r="AO100" s="43">
        <f>G100*0.00554133498354477</f>
        <v>0</v>
      </c>
      <c r="AP100" s="43">
        <f>G100*(1-0.00554133498354477)</f>
        <v>0</v>
      </c>
      <c r="AQ100" s="62" t="s">
        <v>375</v>
      </c>
      <c r="AV100" s="43">
        <f t="shared" si="102"/>
        <v>0</v>
      </c>
      <c r="AW100" s="43">
        <f t="shared" si="103"/>
        <v>0</v>
      </c>
      <c r="AX100" s="43">
        <f t="shared" si="104"/>
        <v>0</v>
      </c>
      <c r="AY100" s="62" t="s">
        <v>78</v>
      </c>
      <c r="AZ100" s="62" t="s">
        <v>338</v>
      </c>
      <c r="BA100" s="65" t="s">
        <v>275</v>
      </c>
      <c r="BC100" s="43">
        <f t="shared" si="105"/>
        <v>0</v>
      </c>
      <c r="BD100" s="43">
        <f t="shared" si="106"/>
        <v>0</v>
      </c>
      <c r="BE100" s="43">
        <v>0</v>
      </c>
      <c r="BF100" s="43">
        <f>100</f>
        <v>100</v>
      </c>
      <c r="BH100" s="43">
        <f t="shared" si="107"/>
        <v>0</v>
      </c>
      <c r="BI100" s="43">
        <f t="shared" si="108"/>
        <v>0</v>
      </c>
      <c r="BJ100" s="43">
        <f t="shared" si="109"/>
        <v>0</v>
      </c>
      <c r="BK100" s="43"/>
      <c r="BL100" s="43">
        <v>734</v>
      </c>
      <c r="BW100" s="43">
        <v>21</v>
      </c>
    </row>
    <row r="101" spans="1:75" ht="13.5" customHeight="1">
      <c r="A101" s="1" t="s">
        <v>239</v>
      </c>
      <c r="B101" s="39" t="s">
        <v>160</v>
      </c>
      <c r="C101" s="102" t="s">
        <v>85</v>
      </c>
      <c r="D101" s="103"/>
      <c r="E101" s="39" t="s">
        <v>99</v>
      </c>
      <c r="F101" s="41">
        <v>10</v>
      </c>
      <c r="G101" s="75">
        <v>0</v>
      </c>
      <c r="H101" s="41">
        <f t="shared" si="88"/>
        <v>0</v>
      </c>
      <c r="I101" s="41">
        <f t="shared" si="89"/>
        <v>0</v>
      </c>
      <c r="J101" s="41">
        <f t="shared" si="90"/>
        <v>0</v>
      </c>
      <c r="K101" s="48" t="s">
        <v>250</v>
      </c>
      <c r="L101" s="8"/>
      <c r="Z101" s="43">
        <f t="shared" si="91"/>
        <v>0</v>
      </c>
      <c r="AB101" s="43">
        <f t="shared" si="92"/>
        <v>0</v>
      </c>
      <c r="AC101" s="43">
        <f t="shared" si="93"/>
        <v>0</v>
      </c>
      <c r="AD101" s="43">
        <f t="shared" si="94"/>
        <v>0</v>
      </c>
      <c r="AE101" s="43">
        <f t="shared" si="95"/>
        <v>0</v>
      </c>
      <c r="AF101" s="43">
        <f t="shared" si="96"/>
        <v>0</v>
      </c>
      <c r="AG101" s="43">
        <f t="shared" si="97"/>
        <v>0</v>
      </c>
      <c r="AH101" s="43">
        <f t="shared" si="98"/>
        <v>0</v>
      </c>
      <c r="AI101" s="65" t="s">
        <v>255</v>
      </c>
      <c r="AJ101" s="43">
        <f t="shared" si="99"/>
        <v>0</v>
      </c>
      <c r="AK101" s="43">
        <f t="shared" si="100"/>
        <v>0</v>
      </c>
      <c r="AL101" s="43">
        <f t="shared" si="101"/>
        <v>0</v>
      </c>
      <c r="AN101" s="43">
        <v>21</v>
      </c>
      <c r="AO101" s="43">
        <f>G101*0.0369344413665743</f>
        <v>0</v>
      </c>
      <c r="AP101" s="43">
        <f>G101*(1-0.0369344413665743)</f>
        <v>0</v>
      </c>
      <c r="AQ101" s="62" t="s">
        <v>375</v>
      </c>
      <c r="AV101" s="43">
        <f t="shared" si="102"/>
        <v>0</v>
      </c>
      <c r="AW101" s="43">
        <f t="shared" si="103"/>
        <v>0</v>
      </c>
      <c r="AX101" s="43">
        <f t="shared" si="104"/>
        <v>0</v>
      </c>
      <c r="AY101" s="62" t="s">
        <v>78</v>
      </c>
      <c r="AZ101" s="62" t="s">
        <v>338</v>
      </c>
      <c r="BA101" s="65" t="s">
        <v>275</v>
      </c>
      <c r="BC101" s="43">
        <f t="shared" si="105"/>
        <v>0</v>
      </c>
      <c r="BD101" s="43">
        <f t="shared" si="106"/>
        <v>0</v>
      </c>
      <c r="BE101" s="43">
        <v>0</v>
      </c>
      <c r="BF101" s="43">
        <f>101</f>
        <v>101</v>
      </c>
      <c r="BH101" s="43">
        <f t="shared" si="107"/>
        <v>0</v>
      </c>
      <c r="BI101" s="43">
        <f t="shared" si="108"/>
        <v>0</v>
      </c>
      <c r="BJ101" s="43">
        <f t="shared" si="109"/>
        <v>0</v>
      </c>
      <c r="BK101" s="43"/>
      <c r="BL101" s="43">
        <v>734</v>
      </c>
      <c r="BW101" s="43">
        <v>21</v>
      </c>
    </row>
    <row r="102" spans="1:75" ht="27" customHeight="1">
      <c r="A102" s="6" t="s">
        <v>17</v>
      </c>
      <c r="B102" s="25" t="s">
        <v>90</v>
      </c>
      <c r="C102" s="102" t="s">
        <v>195</v>
      </c>
      <c r="D102" s="103"/>
      <c r="E102" s="25" t="s">
        <v>99</v>
      </c>
      <c r="F102" s="15">
        <v>2</v>
      </c>
      <c r="G102" s="75">
        <v>0</v>
      </c>
      <c r="H102" s="15">
        <f t="shared" si="88"/>
        <v>0</v>
      </c>
      <c r="I102" s="15">
        <f t="shared" si="89"/>
        <v>0</v>
      </c>
      <c r="J102" s="15">
        <f t="shared" si="90"/>
        <v>0</v>
      </c>
      <c r="K102" s="22" t="s">
        <v>250</v>
      </c>
      <c r="L102" s="8"/>
      <c r="Z102" s="43">
        <f t="shared" si="91"/>
        <v>0</v>
      </c>
      <c r="AB102" s="43">
        <f t="shared" si="92"/>
        <v>0</v>
      </c>
      <c r="AC102" s="43">
        <f t="shared" si="93"/>
        <v>0</v>
      </c>
      <c r="AD102" s="43">
        <f t="shared" si="94"/>
        <v>0</v>
      </c>
      <c r="AE102" s="43">
        <f t="shared" si="95"/>
        <v>0</v>
      </c>
      <c r="AF102" s="43">
        <f t="shared" si="96"/>
        <v>0</v>
      </c>
      <c r="AG102" s="43">
        <f t="shared" si="97"/>
        <v>0</v>
      </c>
      <c r="AH102" s="43">
        <f t="shared" si="98"/>
        <v>0</v>
      </c>
      <c r="AI102" s="65" t="s">
        <v>255</v>
      </c>
      <c r="AJ102" s="43">
        <f t="shared" si="99"/>
        <v>0</v>
      </c>
      <c r="AK102" s="43">
        <f t="shared" si="100"/>
        <v>0</v>
      </c>
      <c r="AL102" s="43">
        <f t="shared" si="101"/>
        <v>0</v>
      </c>
      <c r="AN102" s="43">
        <v>21</v>
      </c>
      <c r="AO102" s="43">
        <f>G102*0.0290727857958675</f>
        <v>0</v>
      </c>
      <c r="AP102" s="43">
        <f>G102*(1-0.0290727857958675)</f>
        <v>0</v>
      </c>
      <c r="AQ102" s="62" t="s">
        <v>375</v>
      </c>
      <c r="AV102" s="43">
        <f t="shared" si="102"/>
        <v>0</v>
      </c>
      <c r="AW102" s="43">
        <f t="shared" si="103"/>
        <v>0</v>
      </c>
      <c r="AX102" s="43">
        <f t="shared" si="104"/>
        <v>0</v>
      </c>
      <c r="AY102" s="62" t="s">
        <v>78</v>
      </c>
      <c r="AZ102" s="62" t="s">
        <v>338</v>
      </c>
      <c r="BA102" s="65" t="s">
        <v>275</v>
      </c>
      <c r="BC102" s="43">
        <f t="shared" si="105"/>
        <v>0</v>
      </c>
      <c r="BD102" s="43">
        <f t="shared" si="106"/>
        <v>0</v>
      </c>
      <c r="BE102" s="43">
        <v>0</v>
      </c>
      <c r="BF102" s="43">
        <f>102</f>
        <v>102</v>
      </c>
      <c r="BH102" s="43">
        <f t="shared" si="107"/>
        <v>0</v>
      </c>
      <c r="BI102" s="43">
        <f t="shared" si="108"/>
        <v>0</v>
      </c>
      <c r="BJ102" s="43">
        <f t="shared" si="109"/>
        <v>0</v>
      </c>
      <c r="BK102" s="43"/>
      <c r="BL102" s="43">
        <v>734</v>
      </c>
      <c r="BW102" s="43">
        <v>21</v>
      </c>
    </row>
    <row r="103" spans="1:75" ht="27" customHeight="1">
      <c r="A103" s="53" t="s">
        <v>406</v>
      </c>
      <c r="B103" s="12" t="s">
        <v>55</v>
      </c>
      <c r="C103" s="88" t="s">
        <v>43</v>
      </c>
      <c r="D103" s="83"/>
      <c r="E103" s="12" t="s">
        <v>99</v>
      </c>
      <c r="F103" s="43">
        <v>1</v>
      </c>
      <c r="G103" s="75">
        <v>0</v>
      </c>
      <c r="H103" s="43">
        <f t="shared" si="88"/>
        <v>0</v>
      </c>
      <c r="I103" s="43">
        <f t="shared" si="89"/>
        <v>0</v>
      </c>
      <c r="J103" s="43">
        <f t="shared" si="90"/>
        <v>0</v>
      </c>
      <c r="K103" s="62" t="s">
        <v>250</v>
      </c>
      <c r="L103" s="8"/>
      <c r="Z103" s="43">
        <f t="shared" si="91"/>
        <v>0</v>
      </c>
      <c r="AB103" s="43">
        <f t="shared" si="92"/>
        <v>0</v>
      </c>
      <c r="AC103" s="43">
        <f t="shared" si="93"/>
        <v>0</v>
      </c>
      <c r="AD103" s="43">
        <f t="shared" si="94"/>
        <v>0</v>
      </c>
      <c r="AE103" s="43">
        <f t="shared" si="95"/>
        <v>0</v>
      </c>
      <c r="AF103" s="43">
        <f t="shared" si="96"/>
        <v>0</v>
      </c>
      <c r="AG103" s="43">
        <f t="shared" si="97"/>
        <v>0</v>
      </c>
      <c r="AH103" s="43">
        <f t="shared" si="98"/>
        <v>0</v>
      </c>
      <c r="AI103" s="65" t="s">
        <v>255</v>
      </c>
      <c r="AJ103" s="43">
        <f t="shared" si="99"/>
        <v>0</v>
      </c>
      <c r="AK103" s="43">
        <f t="shared" si="100"/>
        <v>0</v>
      </c>
      <c r="AL103" s="43">
        <f t="shared" si="101"/>
        <v>0</v>
      </c>
      <c r="AN103" s="43">
        <v>21</v>
      </c>
      <c r="AO103" s="43">
        <f>G103*0</f>
        <v>0</v>
      </c>
      <c r="AP103" s="43">
        <f>G103*(1-0)</f>
        <v>0</v>
      </c>
      <c r="AQ103" s="62" t="s">
        <v>375</v>
      </c>
      <c r="AV103" s="43">
        <f t="shared" si="102"/>
        <v>0</v>
      </c>
      <c r="AW103" s="43">
        <f t="shared" si="103"/>
        <v>0</v>
      </c>
      <c r="AX103" s="43">
        <f t="shared" si="104"/>
        <v>0</v>
      </c>
      <c r="AY103" s="62" t="s">
        <v>78</v>
      </c>
      <c r="AZ103" s="62" t="s">
        <v>338</v>
      </c>
      <c r="BA103" s="65" t="s">
        <v>275</v>
      </c>
      <c r="BC103" s="43">
        <f t="shared" si="105"/>
        <v>0</v>
      </c>
      <c r="BD103" s="43">
        <f t="shared" si="106"/>
        <v>0</v>
      </c>
      <c r="BE103" s="43">
        <v>0</v>
      </c>
      <c r="BF103" s="43">
        <f>103</f>
        <v>103</v>
      </c>
      <c r="BH103" s="43">
        <f t="shared" si="107"/>
        <v>0</v>
      </c>
      <c r="BI103" s="43">
        <f t="shared" si="108"/>
        <v>0</v>
      </c>
      <c r="BJ103" s="43">
        <f t="shared" si="109"/>
        <v>0</v>
      </c>
      <c r="BK103" s="43"/>
      <c r="BL103" s="43">
        <v>734</v>
      </c>
      <c r="BW103" s="43">
        <v>21</v>
      </c>
    </row>
    <row r="104" spans="1:75" ht="27" customHeight="1">
      <c r="A104" s="1" t="s">
        <v>399</v>
      </c>
      <c r="B104" s="39" t="s">
        <v>322</v>
      </c>
      <c r="C104" s="102" t="s">
        <v>272</v>
      </c>
      <c r="D104" s="103"/>
      <c r="E104" s="39" t="s">
        <v>99</v>
      </c>
      <c r="F104" s="41">
        <v>2</v>
      </c>
      <c r="G104" s="75">
        <v>0</v>
      </c>
      <c r="H104" s="41">
        <f t="shared" si="88"/>
        <v>0</v>
      </c>
      <c r="I104" s="41">
        <f t="shared" si="89"/>
        <v>0</v>
      </c>
      <c r="J104" s="41">
        <f t="shared" si="90"/>
        <v>0</v>
      </c>
      <c r="K104" s="48" t="s">
        <v>250</v>
      </c>
      <c r="L104" s="8"/>
      <c r="Z104" s="43">
        <f t="shared" si="91"/>
        <v>0</v>
      </c>
      <c r="AB104" s="43">
        <f t="shared" si="92"/>
        <v>0</v>
      </c>
      <c r="AC104" s="43">
        <f t="shared" si="93"/>
        <v>0</v>
      </c>
      <c r="AD104" s="43">
        <f t="shared" si="94"/>
        <v>0</v>
      </c>
      <c r="AE104" s="43">
        <f t="shared" si="95"/>
        <v>0</v>
      </c>
      <c r="AF104" s="43">
        <f t="shared" si="96"/>
        <v>0</v>
      </c>
      <c r="AG104" s="43">
        <f t="shared" si="97"/>
        <v>0</v>
      </c>
      <c r="AH104" s="43">
        <f t="shared" si="98"/>
        <v>0</v>
      </c>
      <c r="AI104" s="65" t="s">
        <v>255</v>
      </c>
      <c r="AJ104" s="43">
        <f t="shared" si="99"/>
        <v>0</v>
      </c>
      <c r="AK104" s="43">
        <f t="shared" si="100"/>
        <v>0</v>
      </c>
      <c r="AL104" s="43">
        <f t="shared" si="101"/>
        <v>0</v>
      </c>
      <c r="AN104" s="43">
        <v>21</v>
      </c>
      <c r="AO104" s="43">
        <f>G104*0</f>
        <v>0</v>
      </c>
      <c r="AP104" s="43">
        <f>G104*(1-0)</f>
        <v>0</v>
      </c>
      <c r="AQ104" s="62" t="s">
        <v>375</v>
      </c>
      <c r="AV104" s="43">
        <f t="shared" si="102"/>
        <v>0</v>
      </c>
      <c r="AW104" s="43">
        <f t="shared" si="103"/>
        <v>0</v>
      </c>
      <c r="AX104" s="43">
        <f t="shared" si="104"/>
        <v>0</v>
      </c>
      <c r="AY104" s="62" t="s">
        <v>78</v>
      </c>
      <c r="AZ104" s="62" t="s">
        <v>338</v>
      </c>
      <c r="BA104" s="65" t="s">
        <v>275</v>
      </c>
      <c r="BC104" s="43">
        <f t="shared" si="105"/>
        <v>0</v>
      </c>
      <c r="BD104" s="43">
        <f t="shared" si="106"/>
        <v>0</v>
      </c>
      <c r="BE104" s="43">
        <v>0</v>
      </c>
      <c r="BF104" s="43">
        <f>104</f>
        <v>104</v>
      </c>
      <c r="BH104" s="43">
        <f t="shared" si="107"/>
        <v>0</v>
      </c>
      <c r="BI104" s="43">
        <f t="shared" si="108"/>
        <v>0</v>
      </c>
      <c r="BJ104" s="43">
        <f t="shared" si="109"/>
        <v>0</v>
      </c>
      <c r="BK104" s="43"/>
      <c r="BL104" s="43">
        <v>734</v>
      </c>
      <c r="BW104" s="43">
        <v>21</v>
      </c>
    </row>
    <row r="105" spans="1:75" ht="27" customHeight="1">
      <c r="A105" s="53" t="s">
        <v>398</v>
      </c>
      <c r="B105" s="12" t="s">
        <v>27</v>
      </c>
      <c r="C105" s="88" t="s">
        <v>277</v>
      </c>
      <c r="D105" s="83"/>
      <c r="E105" s="12" t="s">
        <v>99</v>
      </c>
      <c r="F105" s="43">
        <v>3</v>
      </c>
      <c r="G105" s="75">
        <v>0</v>
      </c>
      <c r="H105" s="43">
        <f t="shared" si="88"/>
        <v>0</v>
      </c>
      <c r="I105" s="43">
        <f t="shared" si="89"/>
        <v>0</v>
      </c>
      <c r="J105" s="43">
        <f t="shared" si="90"/>
        <v>0</v>
      </c>
      <c r="K105" s="62" t="s">
        <v>250</v>
      </c>
      <c r="L105" s="8"/>
      <c r="Z105" s="43">
        <f t="shared" si="91"/>
        <v>0</v>
      </c>
      <c r="AB105" s="43">
        <f t="shared" si="92"/>
        <v>0</v>
      </c>
      <c r="AC105" s="43">
        <f t="shared" si="93"/>
        <v>0</v>
      </c>
      <c r="AD105" s="43">
        <f t="shared" si="94"/>
        <v>0</v>
      </c>
      <c r="AE105" s="43">
        <f t="shared" si="95"/>
        <v>0</v>
      </c>
      <c r="AF105" s="43">
        <f t="shared" si="96"/>
        <v>0</v>
      </c>
      <c r="AG105" s="43">
        <f t="shared" si="97"/>
        <v>0</v>
      </c>
      <c r="AH105" s="43">
        <f t="shared" si="98"/>
        <v>0</v>
      </c>
      <c r="AI105" s="65" t="s">
        <v>255</v>
      </c>
      <c r="AJ105" s="43">
        <f t="shared" si="99"/>
        <v>0</v>
      </c>
      <c r="AK105" s="43">
        <f t="shared" si="100"/>
        <v>0</v>
      </c>
      <c r="AL105" s="43">
        <f t="shared" si="101"/>
        <v>0</v>
      </c>
      <c r="AN105" s="43">
        <v>21</v>
      </c>
      <c r="AO105" s="43">
        <f>G105*0</f>
        <v>0</v>
      </c>
      <c r="AP105" s="43">
        <f>G105*(1-0)</f>
        <v>0</v>
      </c>
      <c r="AQ105" s="62" t="s">
        <v>375</v>
      </c>
      <c r="AV105" s="43">
        <f t="shared" si="102"/>
        <v>0</v>
      </c>
      <c r="AW105" s="43">
        <f t="shared" si="103"/>
        <v>0</v>
      </c>
      <c r="AX105" s="43">
        <f t="shared" si="104"/>
        <v>0</v>
      </c>
      <c r="AY105" s="62" t="s">
        <v>78</v>
      </c>
      <c r="AZ105" s="62" t="s">
        <v>338</v>
      </c>
      <c r="BA105" s="65" t="s">
        <v>275</v>
      </c>
      <c r="BC105" s="43">
        <f t="shared" si="105"/>
        <v>0</v>
      </c>
      <c r="BD105" s="43">
        <f t="shared" si="106"/>
        <v>0</v>
      </c>
      <c r="BE105" s="43">
        <v>0</v>
      </c>
      <c r="BF105" s="43">
        <f>105</f>
        <v>105</v>
      </c>
      <c r="BH105" s="43">
        <f t="shared" si="107"/>
        <v>0</v>
      </c>
      <c r="BI105" s="43">
        <f t="shared" si="108"/>
        <v>0</v>
      </c>
      <c r="BJ105" s="43">
        <f t="shared" si="109"/>
        <v>0</v>
      </c>
      <c r="BK105" s="43"/>
      <c r="BL105" s="43">
        <v>734</v>
      </c>
      <c r="BW105" s="43">
        <v>21</v>
      </c>
    </row>
    <row r="106" spans="1:75" ht="27" customHeight="1">
      <c r="A106" s="1" t="s">
        <v>15</v>
      </c>
      <c r="B106" s="39" t="s">
        <v>224</v>
      </c>
      <c r="C106" s="102" t="s">
        <v>187</v>
      </c>
      <c r="D106" s="103"/>
      <c r="E106" s="39" t="s">
        <v>99</v>
      </c>
      <c r="F106" s="41">
        <v>28</v>
      </c>
      <c r="G106" s="75">
        <v>0</v>
      </c>
      <c r="H106" s="41">
        <f t="shared" si="88"/>
        <v>0</v>
      </c>
      <c r="I106" s="41">
        <f t="shared" si="89"/>
        <v>0</v>
      </c>
      <c r="J106" s="41">
        <f t="shared" si="90"/>
        <v>0</v>
      </c>
      <c r="K106" s="48" t="s">
        <v>250</v>
      </c>
      <c r="L106" s="8"/>
      <c r="Z106" s="43">
        <f t="shared" si="91"/>
        <v>0</v>
      </c>
      <c r="AB106" s="43">
        <f t="shared" si="92"/>
        <v>0</v>
      </c>
      <c r="AC106" s="43">
        <f t="shared" si="93"/>
        <v>0</v>
      </c>
      <c r="AD106" s="43">
        <f t="shared" si="94"/>
        <v>0</v>
      </c>
      <c r="AE106" s="43">
        <f t="shared" si="95"/>
        <v>0</v>
      </c>
      <c r="AF106" s="43">
        <f t="shared" si="96"/>
        <v>0</v>
      </c>
      <c r="AG106" s="43">
        <f t="shared" si="97"/>
        <v>0</v>
      </c>
      <c r="AH106" s="43">
        <f t="shared" si="98"/>
        <v>0</v>
      </c>
      <c r="AI106" s="65" t="s">
        <v>255</v>
      </c>
      <c r="AJ106" s="43">
        <f t="shared" si="99"/>
        <v>0</v>
      </c>
      <c r="AK106" s="43">
        <f t="shared" si="100"/>
        <v>0</v>
      </c>
      <c r="AL106" s="43">
        <f t="shared" si="101"/>
        <v>0</v>
      </c>
      <c r="AN106" s="43">
        <v>21</v>
      </c>
      <c r="AO106" s="43">
        <f>G106*0.29375</f>
        <v>0</v>
      </c>
      <c r="AP106" s="43">
        <f>G106*(1-0.29375)</f>
        <v>0</v>
      </c>
      <c r="AQ106" s="62" t="s">
        <v>375</v>
      </c>
      <c r="AV106" s="43">
        <f t="shared" si="102"/>
        <v>0</v>
      </c>
      <c r="AW106" s="43">
        <f t="shared" si="103"/>
        <v>0</v>
      </c>
      <c r="AX106" s="43">
        <f t="shared" si="104"/>
        <v>0</v>
      </c>
      <c r="AY106" s="62" t="s">
        <v>78</v>
      </c>
      <c r="AZ106" s="62" t="s">
        <v>338</v>
      </c>
      <c r="BA106" s="65" t="s">
        <v>275</v>
      </c>
      <c r="BC106" s="43">
        <f t="shared" si="105"/>
        <v>0</v>
      </c>
      <c r="BD106" s="43">
        <f t="shared" si="106"/>
        <v>0</v>
      </c>
      <c r="BE106" s="43">
        <v>0</v>
      </c>
      <c r="BF106" s="43">
        <f>106</f>
        <v>106</v>
      </c>
      <c r="BH106" s="43">
        <f t="shared" si="107"/>
        <v>0</v>
      </c>
      <c r="BI106" s="43">
        <f t="shared" si="108"/>
        <v>0</v>
      </c>
      <c r="BJ106" s="43">
        <f t="shared" si="109"/>
        <v>0</v>
      </c>
      <c r="BK106" s="43"/>
      <c r="BL106" s="43">
        <v>734</v>
      </c>
      <c r="BW106" s="43">
        <v>21</v>
      </c>
    </row>
    <row r="107" spans="1:75" ht="13.5" customHeight="1">
      <c r="A107" s="6" t="s">
        <v>0</v>
      </c>
      <c r="B107" s="25" t="s">
        <v>138</v>
      </c>
      <c r="C107" s="102" t="s">
        <v>127</v>
      </c>
      <c r="D107" s="103"/>
      <c r="E107" s="25" t="s">
        <v>99</v>
      </c>
      <c r="F107" s="15">
        <v>6</v>
      </c>
      <c r="G107" s="75">
        <v>0</v>
      </c>
      <c r="H107" s="15">
        <f t="shared" si="88"/>
        <v>0</v>
      </c>
      <c r="I107" s="15">
        <f t="shared" si="89"/>
        <v>0</v>
      </c>
      <c r="J107" s="15">
        <f t="shared" si="90"/>
        <v>0</v>
      </c>
      <c r="K107" s="22" t="s">
        <v>250</v>
      </c>
      <c r="L107" s="8"/>
      <c r="Z107" s="43">
        <f t="shared" si="91"/>
        <v>0</v>
      </c>
      <c r="AB107" s="43">
        <f t="shared" si="92"/>
        <v>0</v>
      </c>
      <c r="AC107" s="43">
        <f t="shared" si="93"/>
        <v>0</v>
      </c>
      <c r="AD107" s="43">
        <f t="shared" si="94"/>
        <v>0</v>
      </c>
      <c r="AE107" s="43">
        <f t="shared" si="95"/>
        <v>0</v>
      </c>
      <c r="AF107" s="43">
        <f t="shared" si="96"/>
        <v>0</v>
      </c>
      <c r="AG107" s="43">
        <f t="shared" si="97"/>
        <v>0</v>
      </c>
      <c r="AH107" s="43">
        <f t="shared" si="98"/>
        <v>0</v>
      </c>
      <c r="AI107" s="65" t="s">
        <v>255</v>
      </c>
      <c r="AJ107" s="43">
        <f t="shared" si="99"/>
        <v>0</v>
      </c>
      <c r="AK107" s="43">
        <f t="shared" si="100"/>
        <v>0</v>
      </c>
      <c r="AL107" s="43">
        <f t="shared" si="101"/>
        <v>0</v>
      </c>
      <c r="AN107" s="43">
        <v>21</v>
      </c>
      <c r="AO107" s="43">
        <f>G107*0.298464491362764</f>
        <v>0</v>
      </c>
      <c r="AP107" s="43">
        <f>G107*(1-0.298464491362764)</f>
        <v>0</v>
      </c>
      <c r="AQ107" s="62" t="s">
        <v>375</v>
      </c>
      <c r="AV107" s="43">
        <f t="shared" si="102"/>
        <v>0</v>
      </c>
      <c r="AW107" s="43">
        <f t="shared" si="103"/>
        <v>0</v>
      </c>
      <c r="AX107" s="43">
        <f t="shared" si="104"/>
        <v>0</v>
      </c>
      <c r="AY107" s="62" t="s">
        <v>78</v>
      </c>
      <c r="AZ107" s="62" t="s">
        <v>338</v>
      </c>
      <c r="BA107" s="65" t="s">
        <v>275</v>
      </c>
      <c r="BC107" s="43">
        <f t="shared" si="105"/>
        <v>0</v>
      </c>
      <c r="BD107" s="43">
        <f t="shared" si="106"/>
        <v>0</v>
      </c>
      <c r="BE107" s="43">
        <v>0</v>
      </c>
      <c r="BF107" s="43">
        <f>107</f>
        <v>107</v>
      </c>
      <c r="BH107" s="43">
        <f t="shared" si="107"/>
        <v>0</v>
      </c>
      <c r="BI107" s="43">
        <f t="shared" si="108"/>
        <v>0</v>
      </c>
      <c r="BJ107" s="43">
        <f t="shared" si="109"/>
        <v>0</v>
      </c>
      <c r="BK107" s="43"/>
      <c r="BL107" s="43">
        <v>734</v>
      </c>
      <c r="BW107" s="43">
        <v>21</v>
      </c>
    </row>
    <row r="108" spans="1:75" ht="13.5" customHeight="1">
      <c r="A108" s="6" t="s">
        <v>337</v>
      </c>
      <c r="B108" s="25" t="s">
        <v>237</v>
      </c>
      <c r="C108" s="102" t="s">
        <v>128</v>
      </c>
      <c r="D108" s="103"/>
      <c r="E108" s="25" t="s">
        <v>99</v>
      </c>
      <c r="F108" s="15">
        <v>30</v>
      </c>
      <c r="G108" s="75">
        <v>0</v>
      </c>
      <c r="H108" s="15">
        <f t="shared" si="88"/>
        <v>0</v>
      </c>
      <c r="I108" s="15">
        <f t="shared" si="89"/>
        <v>0</v>
      </c>
      <c r="J108" s="15">
        <f t="shared" si="90"/>
        <v>0</v>
      </c>
      <c r="K108" s="22" t="s">
        <v>250</v>
      </c>
      <c r="L108" s="8"/>
      <c r="Z108" s="43">
        <f t="shared" si="91"/>
        <v>0</v>
      </c>
      <c r="AB108" s="43">
        <f t="shared" si="92"/>
        <v>0</v>
      </c>
      <c r="AC108" s="43">
        <f t="shared" si="93"/>
        <v>0</v>
      </c>
      <c r="AD108" s="43">
        <f t="shared" si="94"/>
        <v>0</v>
      </c>
      <c r="AE108" s="43">
        <f t="shared" si="95"/>
        <v>0</v>
      </c>
      <c r="AF108" s="43">
        <f t="shared" si="96"/>
        <v>0</v>
      </c>
      <c r="AG108" s="43">
        <f t="shared" si="97"/>
        <v>0</v>
      </c>
      <c r="AH108" s="43">
        <f t="shared" si="98"/>
        <v>0</v>
      </c>
      <c r="AI108" s="65" t="s">
        <v>255</v>
      </c>
      <c r="AJ108" s="43">
        <f t="shared" si="99"/>
        <v>0</v>
      </c>
      <c r="AK108" s="43">
        <f t="shared" si="100"/>
        <v>0</v>
      </c>
      <c r="AL108" s="43">
        <f t="shared" si="101"/>
        <v>0</v>
      </c>
      <c r="AN108" s="43">
        <v>21</v>
      </c>
      <c r="AO108" s="43">
        <f>G108*0.222789327357982</f>
        <v>0</v>
      </c>
      <c r="AP108" s="43">
        <f>G108*(1-0.222789327357982)</f>
        <v>0</v>
      </c>
      <c r="AQ108" s="62" t="s">
        <v>375</v>
      </c>
      <c r="AV108" s="43">
        <f t="shared" si="102"/>
        <v>0</v>
      </c>
      <c r="AW108" s="43">
        <f t="shared" si="103"/>
        <v>0</v>
      </c>
      <c r="AX108" s="43">
        <f t="shared" si="104"/>
        <v>0</v>
      </c>
      <c r="AY108" s="62" t="s">
        <v>78</v>
      </c>
      <c r="AZ108" s="62" t="s">
        <v>338</v>
      </c>
      <c r="BA108" s="65" t="s">
        <v>275</v>
      </c>
      <c r="BC108" s="43">
        <f t="shared" si="105"/>
        <v>0</v>
      </c>
      <c r="BD108" s="43">
        <f t="shared" si="106"/>
        <v>0</v>
      </c>
      <c r="BE108" s="43">
        <v>0</v>
      </c>
      <c r="BF108" s="43">
        <f>108</f>
        <v>108</v>
      </c>
      <c r="BH108" s="43">
        <f t="shared" si="107"/>
        <v>0</v>
      </c>
      <c r="BI108" s="43">
        <f t="shared" si="108"/>
        <v>0</v>
      </c>
      <c r="BJ108" s="43">
        <f t="shared" si="109"/>
        <v>0</v>
      </c>
      <c r="BK108" s="43"/>
      <c r="BL108" s="43">
        <v>734</v>
      </c>
      <c r="BW108" s="43">
        <v>21</v>
      </c>
    </row>
    <row r="109" spans="1:75" ht="27" customHeight="1">
      <c r="A109" s="6" t="s">
        <v>51</v>
      </c>
      <c r="B109" s="25" t="s">
        <v>177</v>
      </c>
      <c r="C109" s="102" t="s">
        <v>207</v>
      </c>
      <c r="D109" s="103"/>
      <c r="E109" s="25" t="s">
        <v>171</v>
      </c>
      <c r="F109" s="15">
        <v>1.18123</v>
      </c>
      <c r="G109" s="75">
        <v>0</v>
      </c>
      <c r="H109" s="15">
        <f t="shared" si="88"/>
        <v>0</v>
      </c>
      <c r="I109" s="15">
        <f t="shared" si="89"/>
        <v>0</v>
      </c>
      <c r="J109" s="15">
        <f t="shared" si="90"/>
        <v>0</v>
      </c>
      <c r="K109" s="22" t="s">
        <v>250</v>
      </c>
      <c r="L109" s="8"/>
      <c r="Z109" s="43">
        <f t="shared" si="91"/>
        <v>0</v>
      </c>
      <c r="AB109" s="43">
        <f t="shared" si="92"/>
        <v>0</v>
      </c>
      <c r="AC109" s="43">
        <f t="shared" si="93"/>
        <v>0</v>
      </c>
      <c r="AD109" s="43">
        <f t="shared" si="94"/>
        <v>0</v>
      </c>
      <c r="AE109" s="43">
        <f t="shared" si="95"/>
        <v>0</v>
      </c>
      <c r="AF109" s="43">
        <f t="shared" si="96"/>
        <v>0</v>
      </c>
      <c r="AG109" s="43">
        <f t="shared" si="97"/>
        <v>0</v>
      </c>
      <c r="AH109" s="43">
        <f t="shared" si="98"/>
        <v>0</v>
      </c>
      <c r="AI109" s="65" t="s">
        <v>255</v>
      </c>
      <c r="AJ109" s="43">
        <f t="shared" si="99"/>
        <v>0</v>
      </c>
      <c r="AK109" s="43">
        <f t="shared" si="100"/>
        <v>0</v>
      </c>
      <c r="AL109" s="43">
        <f t="shared" si="101"/>
        <v>0</v>
      </c>
      <c r="AN109" s="43">
        <v>21</v>
      </c>
      <c r="AO109" s="43">
        <f>G109*0</f>
        <v>0</v>
      </c>
      <c r="AP109" s="43">
        <f>G109*(1-0)</f>
        <v>0</v>
      </c>
      <c r="AQ109" s="62" t="s">
        <v>201</v>
      </c>
      <c r="AV109" s="43">
        <f t="shared" si="102"/>
        <v>0</v>
      </c>
      <c r="AW109" s="43">
        <f t="shared" si="103"/>
        <v>0</v>
      </c>
      <c r="AX109" s="43">
        <f t="shared" si="104"/>
        <v>0</v>
      </c>
      <c r="AY109" s="62" t="s">
        <v>78</v>
      </c>
      <c r="AZ109" s="62" t="s">
        <v>338</v>
      </c>
      <c r="BA109" s="65" t="s">
        <v>275</v>
      </c>
      <c r="BC109" s="43">
        <f t="shared" si="105"/>
        <v>0</v>
      </c>
      <c r="BD109" s="43">
        <f t="shared" si="106"/>
        <v>0</v>
      </c>
      <c r="BE109" s="43">
        <v>0</v>
      </c>
      <c r="BF109" s="43">
        <f>109</f>
        <v>109</v>
      </c>
      <c r="BH109" s="43">
        <f t="shared" si="107"/>
        <v>0</v>
      </c>
      <c r="BI109" s="43">
        <f t="shared" si="108"/>
        <v>0</v>
      </c>
      <c r="BJ109" s="43">
        <f t="shared" si="109"/>
        <v>0</v>
      </c>
      <c r="BK109" s="43"/>
      <c r="BL109" s="43">
        <v>734</v>
      </c>
      <c r="BW109" s="43">
        <v>21</v>
      </c>
    </row>
    <row r="110" spans="1:47" ht="15" customHeight="1">
      <c r="A110" s="52" t="s">
        <v>255</v>
      </c>
      <c r="B110" s="23" t="s">
        <v>208</v>
      </c>
      <c r="C110" s="106" t="s">
        <v>290</v>
      </c>
      <c r="D110" s="107"/>
      <c r="E110" s="4" t="s">
        <v>344</v>
      </c>
      <c r="F110" s="4" t="s">
        <v>344</v>
      </c>
      <c r="G110" s="76" t="s">
        <v>344</v>
      </c>
      <c r="H110" s="2">
        <f>SUM(H111:H113)</f>
        <v>0</v>
      </c>
      <c r="I110" s="2">
        <f>SUM(I111:I113)</f>
        <v>0</v>
      </c>
      <c r="J110" s="2">
        <f>SUM(J111:J113)</f>
        <v>0</v>
      </c>
      <c r="K110" s="45" t="s">
        <v>255</v>
      </c>
      <c r="L110" s="8"/>
      <c r="AI110" s="65" t="s">
        <v>255</v>
      </c>
      <c r="AS110" s="50">
        <f>SUM(AJ111:AJ113)</f>
        <v>0</v>
      </c>
      <c r="AT110" s="50">
        <f>SUM(AK111:AK113)</f>
        <v>0</v>
      </c>
      <c r="AU110" s="50">
        <f>SUM(AL111:AL113)</f>
        <v>0</v>
      </c>
    </row>
    <row r="111" spans="1:75" ht="27" customHeight="1">
      <c r="A111" s="6" t="s">
        <v>151</v>
      </c>
      <c r="B111" s="25" t="s">
        <v>100</v>
      </c>
      <c r="C111" s="102" t="s">
        <v>26</v>
      </c>
      <c r="D111" s="103"/>
      <c r="E111" s="25" t="s">
        <v>366</v>
      </c>
      <c r="F111" s="15">
        <v>5</v>
      </c>
      <c r="G111" s="75">
        <v>0</v>
      </c>
      <c r="H111" s="15">
        <f>F111*AO111</f>
        <v>0</v>
      </c>
      <c r="I111" s="15">
        <f>F111*AP111</f>
        <v>0</v>
      </c>
      <c r="J111" s="15">
        <f>F111*G111</f>
        <v>0</v>
      </c>
      <c r="K111" s="22" t="s">
        <v>250</v>
      </c>
      <c r="L111" s="8"/>
      <c r="Z111" s="43">
        <f>IF(AQ111="5",BJ111,0)</f>
        <v>0</v>
      </c>
      <c r="AB111" s="43">
        <f>IF(AQ111="1",BH111,0)</f>
        <v>0</v>
      </c>
      <c r="AC111" s="43">
        <f>IF(AQ111="1",BI111,0)</f>
        <v>0</v>
      </c>
      <c r="AD111" s="43">
        <f>IF(AQ111="7",BH111,0)</f>
        <v>0</v>
      </c>
      <c r="AE111" s="43">
        <f>IF(AQ111="7",BI111,0)</f>
        <v>0</v>
      </c>
      <c r="AF111" s="43">
        <f>IF(AQ111="2",BH111,0)</f>
        <v>0</v>
      </c>
      <c r="AG111" s="43">
        <f>IF(AQ111="2",BI111,0)</f>
        <v>0</v>
      </c>
      <c r="AH111" s="43">
        <f>IF(AQ111="0",BJ111,0)</f>
        <v>0</v>
      </c>
      <c r="AI111" s="65" t="s">
        <v>255</v>
      </c>
      <c r="AJ111" s="43">
        <f>IF(AN111=0,J111,0)</f>
        <v>0</v>
      </c>
      <c r="AK111" s="43">
        <f>IF(AN111=15,J111,0)</f>
        <v>0</v>
      </c>
      <c r="AL111" s="43">
        <f>IF(AN111=21,J111,0)</f>
        <v>0</v>
      </c>
      <c r="AN111" s="43">
        <v>21</v>
      </c>
      <c r="AO111" s="43">
        <f>G111*0.189595375722543</f>
        <v>0</v>
      </c>
      <c r="AP111" s="43">
        <f>G111*(1-0.189595375722543)</f>
        <v>0</v>
      </c>
      <c r="AQ111" s="62" t="s">
        <v>375</v>
      </c>
      <c r="AV111" s="43">
        <f>AW111+AX111</f>
        <v>0</v>
      </c>
      <c r="AW111" s="43">
        <f>F111*AO111</f>
        <v>0</v>
      </c>
      <c r="AX111" s="43">
        <f>F111*AP111</f>
        <v>0</v>
      </c>
      <c r="AY111" s="62" t="s">
        <v>96</v>
      </c>
      <c r="AZ111" s="62" t="s">
        <v>165</v>
      </c>
      <c r="BA111" s="65" t="s">
        <v>275</v>
      </c>
      <c r="BC111" s="43">
        <f>AW111+AX111</f>
        <v>0</v>
      </c>
      <c r="BD111" s="43">
        <f>G111/(100-BE111)*100</f>
        <v>0</v>
      </c>
      <c r="BE111" s="43">
        <v>0</v>
      </c>
      <c r="BF111" s="43">
        <f>111</f>
        <v>111</v>
      </c>
      <c r="BH111" s="43">
        <f>F111*AO111</f>
        <v>0</v>
      </c>
      <c r="BI111" s="43">
        <f>F111*AP111</f>
        <v>0</v>
      </c>
      <c r="BJ111" s="43">
        <f>F111*G111</f>
        <v>0</v>
      </c>
      <c r="BK111" s="43"/>
      <c r="BL111" s="43">
        <v>783</v>
      </c>
      <c r="BW111" s="43">
        <v>21</v>
      </c>
    </row>
    <row r="112" spans="1:75" ht="27" customHeight="1">
      <c r="A112" s="6" t="s">
        <v>205</v>
      </c>
      <c r="B112" s="25" t="s">
        <v>173</v>
      </c>
      <c r="C112" s="102" t="s">
        <v>199</v>
      </c>
      <c r="D112" s="103"/>
      <c r="E112" s="25" t="s">
        <v>302</v>
      </c>
      <c r="F112" s="15">
        <v>30</v>
      </c>
      <c r="G112" s="75">
        <v>0</v>
      </c>
      <c r="H112" s="15">
        <f>F112*AO112</f>
        <v>0</v>
      </c>
      <c r="I112" s="15">
        <f>F112*AP112</f>
        <v>0</v>
      </c>
      <c r="J112" s="15">
        <f>F112*G112</f>
        <v>0</v>
      </c>
      <c r="K112" s="22" t="s">
        <v>250</v>
      </c>
      <c r="L112" s="8"/>
      <c r="Z112" s="43">
        <f>IF(AQ112="5",BJ112,0)</f>
        <v>0</v>
      </c>
      <c r="AB112" s="43">
        <f>IF(AQ112="1",BH112,0)</f>
        <v>0</v>
      </c>
      <c r="AC112" s="43">
        <f>IF(AQ112="1",BI112,0)</f>
        <v>0</v>
      </c>
      <c r="AD112" s="43">
        <f>IF(AQ112="7",BH112,0)</f>
        <v>0</v>
      </c>
      <c r="AE112" s="43">
        <f>IF(AQ112="7",BI112,0)</f>
        <v>0</v>
      </c>
      <c r="AF112" s="43">
        <f>IF(AQ112="2",BH112,0)</f>
        <v>0</v>
      </c>
      <c r="AG112" s="43">
        <f>IF(AQ112="2",BI112,0)</f>
        <v>0</v>
      </c>
      <c r="AH112" s="43">
        <f>IF(AQ112="0",BJ112,0)</f>
        <v>0</v>
      </c>
      <c r="AI112" s="65" t="s">
        <v>255</v>
      </c>
      <c r="AJ112" s="43">
        <f>IF(AN112=0,J112,0)</f>
        <v>0</v>
      </c>
      <c r="AK112" s="43">
        <f>IF(AN112=15,J112,0)</f>
        <v>0</v>
      </c>
      <c r="AL112" s="43">
        <f>IF(AN112=21,J112,0)</f>
        <v>0</v>
      </c>
      <c r="AN112" s="43">
        <v>21</v>
      </c>
      <c r="AO112" s="43">
        <f>G112*0.220633934120572</f>
        <v>0</v>
      </c>
      <c r="AP112" s="43">
        <f>G112*(1-0.220633934120572)</f>
        <v>0</v>
      </c>
      <c r="AQ112" s="62" t="s">
        <v>375</v>
      </c>
      <c r="AV112" s="43">
        <f>AW112+AX112</f>
        <v>0</v>
      </c>
      <c r="AW112" s="43">
        <f>F112*AO112</f>
        <v>0</v>
      </c>
      <c r="AX112" s="43">
        <f>F112*AP112</f>
        <v>0</v>
      </c>
      <c r="AY112" s="62" t="s">
        <v>96</v>
      </c>
      <c r="AZ112" s="62" t="s">
        <v>165</v>
      </c>
      <c r="BA112" s="65" t="s">
        <v>275</v>
      </c>
      <c r="BC112" s="43">
        <f>AW112+AX112</f>
        <v>0</v>
      </c>
      <c r="BD112" s="43">
        <f>G112/(100-BE112)*100</f>
        <v>0</v>
      </c>
      <c r="BE112" s="43">
        <v>0</v>
      </c>
      <c r="BF112" s="43">
        <f>112</f>
        <v>112</v>
      </c>
      <c r="BH112" s="43">
        <f>F112*AO112</f>
        <v>0</v>
      </c>
      <c r="BI112" s="43">
        <f>F112*AP112</f>
        <v>0</v>
      </c>
      <c r="BJ112" s="43">
        <f>F112*G112</f>
        <v>0</v>
      </c>
      <c r="BK112" s="43"/>
      <c r="BL112" s="43">
        <v>783</v>
      </c>
      <c r="BW112" s="43">
        <v>21</v>
      </c>
    </row>
    <row r="113" spans="1:75" ht="27" customHeight="1">
      <c r="A113" s="31" t="s">
        <v>50</v>
      </c>
      <c r="B113" s="63" t="s">
        <v>262</v>
      </c>
      <c r="C113" s="108" t="s">
        <v>118</v>
      </c>
      <c r="D113" s="109"/>
      <c r="E113" s="63" t="s">
        <v>302</v>
      </c>
      <c r="F113" s="58">
        <v>18</v>
      </c>
      <c r="G113" s="77">
        <v>0</v>
      </c>
      <c r="H113" s="58">
        <f>F113*AO113</f>
        <v>0</v>
      </c>
      <c r="I113" s="58">
        <f>F113*AP113</f>
        <v>0</v>
      </c>
      <c r="J113" s="58">
        <f>F113*G113</f>
        <v>0</v>
      </c>
      <c r="K113" s="73" t="s">
        <v>250</v>
      </c>
      <c r="L113" s="42"/>
      <c r="Z113" s="43">
        <f>IF(AQ113="5",BJ113,0)</f>
        <v>0</v>
      </c>
      <c r="AB113" s="43">
        <f>IF(AQ113="1",BH113,0)</f>
        <v>0</v>
      </c>
      <c r="AC113" s="43">
        <f>IF(AQ113="1",BI113,0)</f>
        <v>0</v>
      </c>
      <c r="AD113" s="43">
        <f>IF(AQ113="7",BH113,0)</f>
        <v>0</v>
      </c>
      <c r="AE113" s="43">
        <f>IF(AQ113="7",BI113,0)</f>
        <v>0</v>
      </c>
      <c r="AF113" s="43">
        <f>IF(AQ113="2",BH113,0)</f>
        <v>0</v>
      </c>
      <c r="AG113" s="43">
        <f>IF(AQ113="2",BI113,0)</f>
        <v>0</v>
      </c>
      <c r="AH113" s="43">
        <f>IF(AQ113="0",BJ113,0)</f>
        <v>0</v>
      </c>
      <c r="AI113" s="65" t="s">
        <v>255</v>
      </c>
      <c r="AJ113" s="43">
        <f>IF(AN113=0,J113,0)</f>
        <v>0</v>
      </c>
      <c r="AK113" s="43">
        <f>IF(AN113=15,J113,0)</f>
        <v>0</v>
      </c>
      <c r="AL113" s="43">
        <f>IF(AN113=21,J113,0)</f>
        <v>0</v>
      </c>
      <c r="AN113" s="43">
        <v>21</v>
      </c>
      <c r="AO113" s="43">
        <f>G113*0.373611111111111</f>
        <v>0</v>
      </c>
      <c r="AP113" s="43">
        <f>G113*(1-0.373611111111111)</f>
        <v>0</v>
      </c>
      <c r="AQ113" s="62" t="s">
        <v>375</v>
      </c>
      <c r="AV113" s="43">
        <f>AW113+AX113</f>
        <v>0</v>
      </c>
      <c r="AW113" s="43">
        <f>F113*AO113</f>
        <v>0</v>
      </c>
      <c r="AX113" s="43">
        <f>F113*AP113</f>
        <v>0</v>
      </c>
      <c r="AY113" s="62" t="s">
        <v>96</v>
      </c>
      <c r="AZ113" s="62" t="s">
        <v>165</v>
      </c>
      <c r="BA113" s="65" t="s">
        <v>275</v>
      </c>
      <c r="BC113" s="43">
        <f>AW113+AX113</f>
        <v>0</v>
      </c>
      <c r="BD113" s="43">
        <f>G113/(100-BE113)*100</f>
        <v>0</v>
      </c>
      <c r="BE113" s="43">
        <v>0</v>
      </c>
      <c r="BF113" s="43">
        <f>113</f>
        <v>113</v>
      </c>
      <c r="BH113" s="43">
        <f>F113*AO113</f>
        <v>0</v>
      </c>
      <c r="BI113" s="43">
        <f>F113*AP113</f>
        <v>0</v>
      </c>
      <c r="BJ113" s="43">
        <f>F113*G113</f>
        <v>0</v>
      </c>
      <c r="BK113" s="43"/>
      <c r="BL113" s="43">
        <v>783</v>
      </c>
      <c r="BW113" s="43">
        <v>21</v>
      </c>
    </row>
    <row r="114" spans="8:10" ht="15" customHeight="1">
      <c r="H114" s="87" t="s">
        <v>287</v>
      </c>
      <c r="I114" s="87"/>
      <c r="J114" s="71">
        <f>J12+J21+J30+J54+J110</f>
        <v>0</v>
      </c>
    </row>
    <row r="115" ht="15" customHeight="1">
      <c r="A115" s="44" t="s">
        <v>36</v>
      </c>
    </row>
    <row r="116" spans="1:12" ht="12.75" customHeight="1">
      <c r="A116" s="88" t="s">
        <v>255</v>
      </c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</row>
  </sheetData>
  <sheetProtection/>
  <mergeCells count="132">
    <mergeCell ref="C112:D112"/>
    <mergeCell ref="C113:D113"/>
    <mergeCell ref="H114:I114"/>
    <mergeCell ref="A116:L116"/>
    <mergeCell ref="C106:D106"/>
    <mergeCell ref="C107:D107"/>
    <mergeCell ref="C108:D108"/>
    <mergeCell ref="C109:D109"/>
    <mergeCell ref="C110:D110"/>
    <mergeCell ref="C111:D111"/>
    <mergeCell ref="C100:D100"/>
    <mergeCell ref="C101:D101"/>
    <mergeCell ref="C102:D102"/>
    <mergeCell ref="C103:D103"/>
    <mergeCell ref="C104:D104"/>
    <mergeCell ref="C105:D105"/>
    <mergeCell ref="C94:D94"/>
    <mergeCell ref="C95:D95"/>
    <mergeCell ref="C96:D96"/>
    <mergeCell ref="C97:D97"/>
    <mergeCell ref="C98:D98"/>
    <mergeCell ref="C99:D99"/>
    <mergeCell ref="C88:D88"/>
    <mergeCell ref="C89:D89"/>
    <mergeCell ref="C90:D90"/>
    <mergeCell ref="C91:D91"/>
    <mergeCell ref="C92:D92"/>
    <mergeCell ref="C93:D93"/>
    <mergeCell ref="C82:D82"/>
    <mergeCell ref="C83:D83"/>
    <mergeCell ref="C84:D84"/>
    <mergeCell ref="C85:D85"/>
    <mergeCell ref="C86:D86"/>
    <mergeCell ref="C87:D87"/>
    <mergeCell ref="C76:D76"/>
    <mergeCell ref="C77:D77"/>
    <mergeCell ref="C78:D78"/>
    <mergeCell ref="C79:D79"/>
    <mergeCell ref="C80:D80"/>
    <mergeCell ref="C81:D81"/>
    <mergeCell ref="C70:D70"/>
    <mergeCell ref="C71:D71"/>
    <mergeCell ref="C72:D72"/>
    <mergeCell ref="C73:D73"/>
    <mergeCell ref="C74:D74"/>
    <mergeCell ref="C75:D75"/>
    <mergeCell ref="C64:D64"/>
    <mergeCell ref="C65:D65"/>
    <mergeCell ref="C66:D66"/>
    <mergeCell ref="C67:D67"/>
    <mergeCell ref="C68:D68"/>
    <mergeCell ref="C69:D69"/>
    <mergeCell ref="C58:D58"/>
    <mergeCell ref="C59:D59"/>
    <mergeCell ref="C60:D60"/>
    <mergeCell ref="C61:D61"/>
    <mergeCell ref="C62:D62"/>
    <mergeCell ref="C63:D63"/>
    <mergeCell ref="C52:D52"/>
    <mergeCell ref="C53:D53"/>
    <mergeCell ref="C54:D54"/>
    <mergeCell ref="C55:D55"/>
    <mergeCell ref="C56:D56"/>
    <mergeCell ref="C57:D57"/>
    <mergeCell ref="C46:D46"/>
    <mergeCell ref="C47:D47"/>
    <mergeCell ref="C48:D48"/>
    <mergeCell ref="C49:D49"/>
    <mergeCell ref="C50:D50"/>
    <mergeCell ref="C51:D51"/>
    <mergeCell ref="C40:D40"/>
    <mergeCell ref="C41:D41"/>
    <mergeCell ref="C42:D42"/>
    <mergeCell ref="C43:D43"/>
    <mergeCell ref="C44:D44"/>
    <mergeCell ref="C45:D45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C11:D11"/>
    <mergeCell ref="H10:J10"/>
    <mergeCell ref="C12:D12"/>
    <mergeCell ref="C13:D13"/>
    <mergeCell ref="C14:D14"/>
    <mergeCell ref="C15:D15"/>
    <mergeCell ref="K2:L3"/>
    <mergeCell ref="K4:L5"/>
    <mergeCell ref="K6:L7"/>
    <mergeCell ref="K8:L9"/>
    <mergeCell ref="C10:D10"/>
    <mergeCell ref="J4:J5"/>
    <mergeCell ref="J6:J7"/>
    <mergeCell ref="J8:J9"/>
    <mergeCell ref="C2:F3"/>
    <mergeCell ref="C4:F5"/>
    <mergeCell ref="C6:F7"/>
    <mergeCell ref="C8:F9"/>
    <mergeCell ref="I2:I3"/>
    <mergeCell ref="I4:I5"/>
    <mergeCell ref="I6:I7"/>
    <mergeCell ref="I8:I9"/>
    <mergeCell ref="A1:L1"/>
    <mergeCell ref="A2:B3"/>
    <mergeCell ref="A4:B5"/>
    <mergeCell ref="A6:B7"/>
    <mergeCell ref="A8:B9"/>
    <mergeCell ref="G2:H3"/>
    <mergeCell ref="G4:H5"/>
    <mergeCell ref="G6:H7"/>
    <mergeCell ref="G8:H9"/>
    <mergeCell ref="J2:J3"/>
  </mergeCells>
  <printOptions/>
  <pageMargins left="0.394" right="0.394" top="0.591" bottom="0.591" header="0" footer="0"/>
  <pageSetup firstPageNumber="0" useFirstPageNumber="1"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showOutlineSymbols="0" zoomScalePageLayoutView="0" workbookViewId="0" topLeftCell="A1">
      <selection activeCell="C14" sqref="C14"/>
    </sheetView>
  </sheetViews>
  <sheetFormatPr defaultColWidth="17" defaultRowHeight="15" customHeight="1"/>
  <cols>
    <col min="1" max="1" width="12.796875" style="0" customWidth="1"/>
    <col min="2" max="2" width="18" style="0" customWidth="1"/>
    <col min="3" max="3" width="38" style="0" customWidth="1"/>
    <col min="4" max="4" width="14" style="0" customWidth="1"/>
    <col min="5" max="5" width="19.59765625" style="0" customWidth="1"/>
    <col min="6" max="6" width="38" style="0" customWidth="1"/>
    <col min="7" max="7" width="12.796875" style="0" customWidth="1"/>
    <col min="8" max="8" width="18" style="0" customWidth="1"/>
    <col min="9" max="9" width="38" style="0" customWidth="1"/>
  </cols>
  <sheetData>
    <row r="1" spans="1:9" ht="54.75" customHeight="1">
      <c r="A1" s="110" t="s">
        <v>427</v>
      </c>
      <c r="B1" s="79"/>
      <c r="C1" s="79"/>
      <c r="D1" s="79"/>
      <c r="E1" s="79"/>
      <c r="F1" s="79"/>
      <c r="G1" s="79"/>
      <c r="H1" s="79"/>
      <c r="I1" s="79"/>
    </row>
    <row r="2" spans="1:9" ht="15" customHeight="1">
      <c r="A2" s="80" t="s">
        <v>29</v>
      </c>
      <c r="B2" s="81"/>
      <c r="C2" s="94" t="str">
        <f>'Vykaz vymer rozdelovac'!C2</f>
        <v>12. ZŠ  Mikoláše  Alše  558  Zlín,  Podhoří</v>
      </c>
      <c r="D2" s="95"/>
      <c r="E2" s="85" t="s">
        <v>306</v>
      </c>
      <c r="F2" s="85" t="str">
        <f>'Vykaz vymer rozdelovac'!K2</f>
        <v>STATUTÁRNÍ MĚSTO ZLÍN</v>
      </c>
      <c r="G2" s="81"/>
      <c r="H2" s="85" t="s">
        <v>235</v>
      </c>
      <c r="I2" s="89" t="s">
        <v>255</v>
      </c>
    </row>
    <row r="3" spans="1:9" ht="15" customHeight="1">
      <c r="A3" s="82"/>
      <c r="B3" s="83"/>
      <c r="C3" s="87"/>
      <c r="D3" s="87"/>
      <c r="E3" s="83"/>
      <c r="F3" s="83"/>
      <c r="G3" s="83"/>
      <c r="H3" s="83"/>
      <c r="I3" s="90"/>
    </row>
    <row r="4" spans="1:9" ht="15" customHeight="1">
      <c r="A4" s="84" t="s">
        <v>202</v>
      </c>
      <c r="B4" s="83"/>
      <c r="C4" s="88" t="str">
        <f>'Vykaz vymer rozdelovac'!C4</f>
        <v>Rekonstrukce  plynové  kotelny - KOMBI ROZDĚLOVAČ</v>
      </c>
      <c r="D4" s="83"/>
      <c r="E4" s="88" t="s">
        <v>252</v>
      </c>
      <c r="F4" s="88" t="str">
        <f>'Vykaz vymer rozdelovac'!K4</f>
        <v>ing. Rudolf Ženožička</v>
      </c>
      <c r="G4" s="83"/>
      <c r="H4" s="88" t="s">
        <v>235</v>
      </c>
      <c r="I4" s="90" t="s">
        <v>255</v>
      </c>
    </row>
    <row r="5" spans="1:9" ht="15" customHeight="1">
      <c r="A5" s="82"/>
      <c r="B5" s="83"/>
      <c r="C5" s="83"/>
      <c r="D5" s="83"/>
      <c r="E5" s="83"/>
      <c r="F5" s="83"/>
      <c r="G5" s="83"/>
      <c r="H5" s="83"/>
      <c r="I5" s="90"/>
    </row>
    <row r="6" spans="1:9" ht="15" customHeight="1">
      <c r="A6" s="84" t="s">
        <v>37</v>
      </c>
      <c r="B6" s="83"/>
      <c r="C6" s="88" t="str">
        <f>'Vykaz vymer rozdelovac'!C6</f>
        <v> </v>
      </c>
      <c r="D6" s="83"/>
      <c r="E6" s="88" t="s">
        <v>323</v>
      </c>
      <c r="F6" s="88" t="str">
        <f>'Vykaz vymer rozdelovac'!K6</f>
        <v>THERMPROJEKT s.r.o. Zlín</v>
      </c>
      <c r="G6" s="83"/>
      <c r="H6" s="88" t="s">
        <v>235</v>
      </c>
      <c r="I6" s="90" t="s">
        <v>255</v>
      </c>
    </row>
    <row r="7" spans="1:9" ht="15" customHeight="1">
      <c r="A7" s="82"/>
      <c r="B7" s="83"/>
      <c r="C7" s="83"/>
      <c r="D7" s="83"/>
      <c r="E7" s="83"/>
      <c r="F7" s="83"/>
      <c r="G7" s="83"/>
      <c r="H7" s="83"/>
      <c r="I7" s="90"/>
    </row>
    <row r="8" spans="1:9" ht="15" customHeight="1">
      <c r="A8" s="84" t="s">
        <v>328</v>
      </c>
      <c r="B8" s="83"/>
      <c r="C8" s="88" t="str">
        <f>'Vykaz vymer rozdelovac'!I4</f>
        <v>01.07.2024</v>
      </c>
      <c r="D8" s="83"/>
      <c r="E8" s="88" t="s">
        <v>122</v>
      </c>
      <c r="F8" s="88" t="str">
        <f>'Vykaz vymer rozdelovac'!I6</f>
        <v>31.08.2024</v>
      </c>
      <c r="G8" s="83"/>
      <c r="H8" s="83" t="s">
        <v>378</v>
      </c>
      <c r="I8" s="113">
        <v>97</v>
      </c>
    </row>
    <row r="9" spans="1:9" ht="15" customHeight="1">
      <c r="A9" s="82"/>
      <c r="B9" s="83"/>
      <c r="C9" s="83"/>
      <c r="D9" s="83"/>
      <c r="E9" s="83"/>
      <c r="F9" s="83"/>
      <c r="G9" s="83"/>
      <c r="H9" s="83"/>
      <c r="I9" s="90"/>
    </row>
    <row r="10" spans="1:9" ht="15" customHeight="1">
      <c r="A10" s="84" t="s">
        <v>179</v>
      </c>
      <c r="B10" s="83"/>
      <c r="C10" s="88" t="str">
        <f>'Vykaz vymer rozdelovac'!C8</f>
        <v> </v>
      </c>
      <c r="D10" s="83"/>
      <c r="E10" s="88" t="s">
        <v>243</v>
      </c>
      <c r="F10" s="88" t="str">
        <f>'Vykaz vymer rozdelovac'!K8</f>
        <v>ing. Ženožička</v>
      </c>
      <c r="G10" s="83"/>
      <c r="H10" s="83" t="s">
        <v>360</v>
      </c>
      <c r="I10" s="114" t="str">
        <f>'Vykaz vymer rozdelovac'!I8</f>
        <v>05.01.2024</v>
      </c>
    </row>
    <row r="11" spans="1:9" ht="15" customHeight="1">
      <c r="A11" s="111"/>
      <c r="B11" s="112"/>
      <c r="C11" s="112"/>
      <c r="D11" s="112"/>
      <c r="E11" s="112"/>
      <c r="F11" s="112"/>
      <c r="G11" s="112"/>
      <c r="H11" s="112"/>
      <c r="I11" s="91"/>
    </row>
    <row r="12" spans="1:9" ht="22.5" customHeight="1">
      <c r="A12" s="115" t="s">
        <v>67</v>
      </c>
      <c r="B12" s="115"/>
      <c r="C12" s="115"/>
      <c r="D12" s="115"/>
      <c r="E12" s="115"/>
      <c r="F12" s="115"/>
      <c r="G12" s="115"/>
      <c r="H12" s="115"/>
      <c r="I12" s="115"/>
    </row>
    <row r="13" spans="1:9" ht="26.25" customHeight="1">
      <c r="A13" s="26" t="s">
        <v>331</v>
      </c>
      <c r="B13" s="116" t="s">
        <v>53</v>
      </c>
      <c r="C13" s="117"/>
      <c r="D13" s="54" t="s">
        <v>73</v>
      </c>
      <c r="E13" s="116" t="s">
        <v>140</v>
      </c>
      <c r="F13" s="117"/>
      <c r="G13" s="54" t="s">
        <v>228</v>
      </c>
      <c r="H13" s="116" t="s">
        <v>74</v>
      </c>
      <c r="I13" s="117"/>
    </row>
    <row r="14" spans="1:9" ht="15" customHeight="1">
      <c r="A14" s="9" t="s">
        <v>144</v>
      </c>
      <c r="B14" s="24" t="s">
        <v>101</v>
      </c>
      <c r="C14" s="32">
        <f>SUM('Vykaz vymer rozdelovac'!AB12:AB113)</f>
        <v>0</v>
      </c>
      <c r="D14" s="124" t="s">
        <v>263</v>
      </c>
      <c r="E14" s="125"/>
      <c r="F14" s="32">
        <f>VORN!I15</f>
        <v>0</v>
      </c>
      <c r="G14" s="124" t="s">
        <v>47</v>
      </c>
      <c r="H14" s="125"/>
      <c r="I14" s="30">
        <f>VORN!I21</f>
        <v>0</v>
      </c>
    </row>
    <row r="15" spans="1:9" ht="15" customHeight="1">
      <c r="A15" s="40" t="s">
        <v>255</v>
      </c>
      <c r="B15" s="24" t="s">
        <v>77</v>
      </c>
      <c r="C15" s="32">
        <f>SUM('Vykaz vymer rozdelovac'!AC12:AC113)</f>
        <v>0</v>
      </c>
      <c r="D15" s="124" t="s">
        <v>44</v>
      </c>
      <c r="E15" s="125"/>
      <c r="F15" s="32">
        <f>VORN!I16</f>
        <v>0</v>
      </c>
      <c r="G15" s="124" t="s">
        <v>289</v>
      </c>
      <c r="H15" s="125"/>
      <c r="I15" s="30">
        <f>VORN!I22</f>
        <v>0</v>
      </c>
    </row>
    <row r="16" spans="1:9" ht="15" customHeight="1">
      <c r="A16" s="9" t="s">
        <v>41</v>
      </c>
      <c r="B16" s="24" t="s">
        <v>101</v>
      </c>
      <c r="C16" s="32">
        <f>SUM('Vykaz vymer rozdelovac'!AD12:AD113)</f>
        <v>0</v>
      </c>
      <c r="D16" s="124" t="s">
        <v>269</v>
      </c>
      <c r="E16" s="125"/>
      <c r="F16" s="32">
        <f>VORN!I17</f>
        <v>0</v>
      </c>
      <c r="G16" s="124" t="s">
        <v>358</v>
      </c>
      <c r="H16" s="125"/>
      <c r="I16" s="30">
        <f>VORN!I23</f>
        <v>0</v>
      </c>
    </row>
    <row r="17" spans="1:9" ht="15" customHeight="1">
      <c r="A17" s="40" t="s">
        <v>255</v>
      </c>
      <c r="B17" s="24" t="s">
        <v>77</v>
      </c>
      <c r="C17" s="32">
        <f>SUM('Vykaz vymer rozdelovac'!AE12:AE113)</f>
        <v>0</v>
      </c>
      <c r="D17" s="124" t="s">
        <v>255</v>
      </c>
      <c r="E17" s="125"/>
      <c r="F17" s="30" t="s">
        <v>255</v>
      </c>
      <c r="G17" s="124" t="s">
        <v>200</v>
      </c>
      <c r="H17" s="125"/>
      <c r="I17" s="30">
        <f>VORN!I24</f>
        <v>0</v>
      </c>
    </row>
    <row r="18" spans="1:9" ht="15" customHeight="1">
      <c r="A18" s="9" t="s">
        <v>114</v>
      </c>
      <c r="B18" s="24" t="s">
        <v>101</v>
      </c>
      <c r="C18" s="32">
        <f>SUM('Vykaz vymer rozdelovac'!AF12:AF113)</f>
        <v>0</v>
      </c>
      <c r="D18" s="124" t="s">
        <v>255</v>
      </c>
      <c r="E18" s="125"/>
      <c r="F18" s="30" t="s">
        <v>255</v>
      </c>
      <c r="G18" s="124" t="s">
        <v>236</v>
      </c>
      <c r="H18" s="125"/>
      <c r="I18" s="30">
        <f>VORN!I25</f>
        <v>0</v>
      </c>
    </row>
    <row r="19" spans="1:9" ht="15" customHeight="1">
      <c r="A19" s="40" t="s">
        <v>255</v>
      </c>
      <c r="B19" s="24" t="s">
        <v>77</v>
      </c>
      <c r="C19" s="32">
        <f>SUM('Vykaz vymer rozdelovac'!AG12:AG113)</f>
        <v>0</v>
      </c>
      <c r="D19" s="124" t="s">
        <v>255</v>
      </c>
      <c r="E19" s="125"/>
      <c r="F19" s="30" t="s">
        <v>255</v>
      </c>
      <c r="G19" s="124" t="s">
        <v>370</v>
      </c>
      <c r="H19" s="125"/>
      <c r="I19" s="30">
        <f>VORN!I26</f>
        <v>0</v>
      </c>
    </row>
    <row r="20" spans="1:9" ht="15" customHeight="1">
      <c r="A20" s="118" t="s">
        <v>30</v>
      </c>
      <c r="B20" s="119"/>
      <c r="C20" s="32">
        <f>SUM('Vykaz vymer rozdelovac'!AH12:AH113)</f>
        <v>0</v>
      </c>
      <c r="D20" s="124" t="s">
        <v>255</v>
      </c>
      <c r="E20" s="125"/>
      <c r="F20" s="30" t="s">
        <v>255</v>
      </c>
      <c r="G20" s="124" t="s">
        <v>255</v>
      </c>
      <c r="H20" s="125"/>
      <c r="I20" s="30" t="s">
        <v>255</v>
      </c>
    </row>
    <row r="21" spans="1:9" ht="15" customHeight="1">
      <c r="A21" s="120" t="s">
        <v>369</v>
      </c>
      <c r="B21" s="121"/>
      <c r="C21" s="27">
        <f>SUM('Vykaz vymer rozdelovac'!Z12:Z113)</f>
        <v>0</v>
      </c>
      <c r="D21" s="126" t="s">
        <v>255</v>
      </c>
      <c r="E21" s="127"/>
      <c r="F21" s="56" t="s">
        <v>255</v>
      </c>
      <c r="G21" s="126" t="s">
        <v>255</v>
      </c>
      <c r="H21" s="127"/>
      <c r="I21" s="56" t="s">
        <v>255</v>
      </c>
    </row>
    <row r="22" spans="1:9" ht="16.5" customHeight="1">
      <c r="A22" s="122" t="s">
        <v>80</v>
      </c>
      <c r="B22" s="123"/>
      <c r="C22" s="78">
        <f>SUM(C14:C21)</f>
        <v>0</v>
      </c>
      <c r="D22" s="128" t="s">
        <v>196</v>
      </c>
      <c r="E22" s="123"/>
      <c r="F22" s="70">
        <f>SUM(F14:F21)</f>
        <v>0</v>
      </c>
      <c r="G22" s="128" t="s">
        <v>379</v>
      </c>
      <c r="H22" s="123"/>
      <c r="I22" s="70">
        <f>SUM(I14:I21)</f>
        <v>0</v>
      </c>
    </row>
    <row r="23" spans="4:9" ht="15" customHeight="1">
      <c r="D23" s="118" t="s">
        <v>292</v>
      </c>
      <c r="E23" s="119"/>
      <c r="F23" s="69">
        <v>0</v>
      </c>
      <c r="G23" s="129" t="s">
        <v>22</v>
      </c>
      <c r="H23" s="119"/>
      <c r="I23" s="32">
        <v>0</v>
      </c>
    </row>
    <row r="24" spans="7:9" ht="15" customHeight="1">
      <c r="G24" s="118" t="s">
        <v>219</v>
      </c>
      <c r="H24" s="119"/>
      <c r="I24" s="27">
        <f>vorn_sum</f>
        <v>0</v>
      </c>
    </row>
    <row r="25" spans="7:9" ht="15" customHeight="1">
      <c r="G25" s="118" t="s">
        <v>116</v>
      </c>
      <c r="H25" s="119"/>
      <c r="I25" s="70">
        <v>0</v>
      </c>
    </row>
    <row r="27" spans="1:3" ht="15" customHeight="1">
      <c r="A27" s="130" t="s">
        <v>156</v>
      </c>
      <c r="B27" s="131"/>
      <c r="C27" s="47">
        <f>SUM('Vykaz vymer rozdelovac'!AJ12:AJ113)</f>
        <v>0</v>
      </c>
    </row>
    <row r="28" spans="1:9" ht="15" customHeight="1">
      <c r="A28" s="132" t="s">
        <v>6</v>
      </c>
      <c r="B28" s="133"/>
      <c r="C28" s="46">
        <f>SUM('Vykaz vymer rozdelovac'!AK12:AK113)</f>
        <v>0</v>
      </c>
      <c r="D28" s="131" t="s">
        <v>91</v>
      </c>
      <c r="E28" s="131"/>
      <c r="F28" s="47">
        <f>ROUND(C28*(15/100),2)</f>
        <v>0</v>
      </c>
      <c r="G28" s="131" t="s">
        <v>61</v>
      </c>
      <c r="H28" s="131"/>
      <c r="I28" s="47">
        <f>SUM(C27:C29)</f>
        <v>0</v>
      </c>
    </row>
    <row r="29" spans="1:9" ht="15" customHeight="1">
      <c r="A29" s="132" t="s">
        <v>19</v>
      </c>
      <c r="B29" s="133"/>
      <c r="C29" s="46">
        <f>SUM('Vykaz vymer rozdelovac'!AL12:AL113)+(F22+I22+F23+I23+I24+I25)</f>
        <v>0</v>
      </c>
      <c r="D29" s="133" t="s">
        <v>271</v>
      </c>
      <c r="E29" s="133"/>
      <c r="F29" s="46">
        <f>ROUND(C29*(21/100),2)</f>
        <v>0</v>
      </c>
      <c r="G29" s="133" t="s">
        <v>153</v>
      </c>
      <c r="H29" s="133"/>
      <c r="I29" s="46">
        <f>SUM(F28:F29)+I28</f>
        <v>0</v>
      </c>
    </row>
    <row r="31" spans="1:9" ht="15" customHeight="1">
      <c r="A31" s="140" t="s">
        <v>4</v>
      </c>
      <c r="B31" s="137"/>
      <c r="C31" s="138"/>
      <c r="D31" s="137" t="s">
        <v>350</v>
      </c>
      <c r="E31" s="137"/>
      <c r="F31" s="138"/>
      <c r="G31" s="137" t="s">
        <v>248</v>
      </c>
      <c r="H31" s="137"/>
      <c r="I31" s="138"/>
    </row>
    <row r="32" spans="1:9" ht="15" customHeight="1">
      <c r="A32" s="141" t="s">
        <v>255</v>
      </c>
      <c r="B32" s="126"/>
      <c r="C32" s="139"/>
      <c r="D32" s="126" t="s">
        <v>255</v>
      </c>
      <c r="E32" s="126"/>
      <c r="F32" s="139"/>
      <c r="G32" s="126" t="s">
        <v>255</v>
      </c>
      <c r="H32" s="126"/>
      <c r="I32" s="139"/>
    </row>
    <row r="33" spans="1:9" ht="15" customHeight="1">
      <c r="A33" s="141" t="s">
        <v>255</v>
      </c>
      <c r="B33" s="126"/>
      <c r="C33" s="139"/>
      <c r="D33" s="126" t="s">
        <v>255</v>
      </c>
      <c r="E33" s="126"/>
      <c r="F33" s="139"/>
      <c r="G33" s="126" t="s">
        <v>255</v>
      </c>
      <c r="H33" s="126"/>
      <c r="I33" s="139"/>
    </row>
    <row r="34" spans="1:9" ht="15" customHeight="1">
      <c r="A34" s="141" t="s">
        <v>255</v>
      </c>
      <c r="B34" s="126"/>
      <c r="C34" s="139"/>
      <c r="D34" s="126" t="s">
        <v>255</v>
      </c>
      <c r="E34" s="126"/>
      <c r="F34" s="139"/>
      <c r="G34" s="126" t="s">
        <v>255</v>
      </c>
      <c r="H34" s="126"/>
      <c r="I34" s="139"/>
    </row>
    <row r="35" spans="1:9" ht="15" customHeight="1">
      <c r="A35" s="134" t="s">
        <v>79</v>
      </c>
      <c r="B35" s="135"/>
      <c r="C35" s="136"/>
      <c r="D35" s="135" t="s">
        <v>79</v>
      </c>
      <c r="E35" s="135"/>
      <c r="F35" s="136"/>
      <c r="G35" s="135" t="s">
        <v>79</v>
      </c>
      <c r="H35" s="135"/>
      <c r="I35" s="136"/>
    </row>
    <row r="36" ht="15" customHeight="1">
      <c r="A36" s="44" t="s">
        <v>36</v>
      </c>
    </row>
    <row r="37" spans="1:9" ht="12.75" customHeight="1">
      <c r="A37" s="88" t="s">
        <v>255</v>
      </c>
      <c r="B37" s="83"/>
      <c r="C37" s="83"/>
      <c r="D37" s="83"/>
      <c r="E37" s="83"/>
      <c r="F37" s="83"/>
      <c r="G37" s="83"/>
      <c r="H37" s="83"/>
      <c r="I37" s="83"/>
    </row>
  </sheetData>
  <sheetProtection/>
  <mergeCells count="83">
    <mergeCell ref="G31:I31"/>
    <mergeCell ref="G32:I32"/>
    <mergeCell ref="G33:I33"/>
    <mergeCell ref="G34:I34"/>
    <mergeCell ref="G35:I35"/>
    <mergeCell ref="A37:I37"/>
    <mergeCell ref="A31:C31"/>
    <mergeCell ref="A32:C32"/>
    <mergeCell ref="A33:C33"/>
    <mergeCell ref="A34:C34"/>
    <mergeCell ref="A35:C35"/>
    <mergeCell ref="D31:F31"/>
    <mergeCell ref="D32:F32"/>
    <mergeCell ref="D33:F33"/>
    <mergeCell ref="D34:F34"/>
    <mergeCell ref="D35:F35"/>
    <mergeCell ref="A27:B27"/>
    <mergeCell ref="A28:B28"/>
    <mergeCell ref="A29:B29"/>
    <mergeCell ref="D28:E28"/>
    <mergeCell ref="D29:E29"/>
    <mergeCell ref="G28:H28"/>
    <mergeCell ref="G29:H29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D18:E18"/>
    <mergeCell ref="D19:E19"/>
    <mergeCell ref="D20:E20"/>
    <mergeCell ref="D21:E21"/>
    <mergeCell ref="D22:E22"/>
    <mergeCell ref="D23:E23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E10:E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</mergeCells>
  <printOptions/>
  <pageMargins left="0.394" right="0.394" top="0.591" bottom="0.591" header="0" footer="0"/>
  <pageSetup firstPageNumber="0" useFirstPageNumber="1" fitToHeight="1" fitToWidth="1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OutlineSymbols="0" zoomScalePageLayoutView="0" workbookViewId="0" topLeftCell="A1">
      <selection activeCell="A36" sqref="A36:E36"/>
    </sheetView>
  </sheetViews>
  <sheetFormatPr defaultColWidth="17" defaultRowHeight="15" customHeight="1"/>
  <cols>
    <col min="1" max="1" width="12.796875" style="0" customWidth="1"/>
    <col min="2" max="2" width="18" style="0" customWidth="1"/>
    <col min="3" max="3" width="32" style="0" customWidth="1"/>
    <col min="4" max="4" width="14" style="0" customWidth="1"/>
    <col min="5" max="5" width="19.59765625" style="0" customWidth="1"/>
    <col min="6" max="6" width="32" style="0" customWidth="1"/>
    <col min="7" max="7" width="12.796875" style="0" customWidth="1"/>
    <col min="8" max="8" width="24" style="0" customWidth="1"/>
    <col min="9" max="9" width="32" style="0" customWidth="1"/>
  </cols>
  <sheetData>
    <row r="1" spans="1:9" ht="54.75" customHeight="1">
      <c r="A1" s="110" t="s">
        <v>63</v>
      </c>
      <c r="B1" s="79"/>
      <c r="C1" s="79"/>
      <c r="D1" s="79"/>
      <c r="E1" s="79"/>
      <c r="F1" s="79"/>
      <c r="G1" s="79"/>
      <c r="H1" s="79"/>
      <c r="I1" s="79"/>
    </row>
    <row r="2" spans="1:9" ht="15" customHeight="1">
      <c r="A2" s="80" t="s">
        <v>29</v>
      </c>
      <c r="B2" s="81"/>
      <c r="C2" s="94" t="str">
        <f>'Vykaz vymer rozdelovac'!C2</f>
        <v>12. ZŠ  Mikoláše  Alše  558  Zlín,  Podhoří</v>
      </c>
      <c r="D2" s="95"/>
      <c r="E2" s="85" t="s">
        <v>306</v>
      </c>
      <c r="F2" s="85" t="str">
        <f>'Vykaz vymer rozdelovac'!K2</f>
        <v>STATUTÁRNÍ MĚSTO ZLÍN</v>
      </c>
      <c r="G2" s="81"/>
      <c r="H2" s="85" t="s">
        <v>235</v>
      </c>
      <c r="I2" s="89" t="s">
        <v>255</v>
      </c>
    </row>
    <row r="3" spans="1:9" ht="15" customHeight="1">
      <c r="A3" s="82"/>
      <c r="B3" s="83"/>
      <c r="C3" s="87"/>
      <c r="D3" s="87"/>
      <c r="E3" s="83"/>
      <c r="F3" s="83"/>
      <c r="G3" s="83"/>
      <c r="H3" s="83"/>
      <c r="I3" s="90"/>
    </row>
    <row r="4" spans="1:9" ht="15" customHeight="1">
      <c r="A4" s="84" t="s">
        <v>202</v>
      </c>
      <c r="B4" s="83"/>
      <c r="C4" s="88" t="str">
        <f>'Vykaz vymer rozdelovac'!C4</f>
        <v>Rekonstrukce  plynové  kotelny - KOMBI ROZDĚLOVAČ</v>
      </c>
      <c r="D4" s="83"/>
      <c r="E4" s="88" t="s">
        <v>252</v>
      </c>
      <c r="F4" s="88" t="str">
        <f>'Vykaz vymer rozdelovac'!K4</f>
        <v>ing. Rudolf Ženožička</v>
      </c>
      <c r="G4" s="83"/>
      <c r="H4" s="88" t="s">
        <v>235</v>
      </c>
      <c r="I4" s="90" t="s">
        <v>255</v>
      </c>
    </row>
    <row r="5" spans="1:9" ht="15" customHeight="1">
      <c r="A5" s="82"/>
      <c r="B5" s="83"/>
      <c r="C5" s="83"/>
      <c r="D5" s="83"/>
      <c r="E5" s="83"/>
      <c r="F5" s="83"/>
      <c r="G5" s="83"/>
      <c r="H5" s="83"/>
      <c r="I5" s="90"/>
    </row>
    <row r="6" spans="1:9" ht="15" customHeight="1">
      <c r="A6" s="84" t="s">
        <v>37</v>
      </c>
      <c r="B6" s="83"/>
      <c r="C6" s="88" t="str">
        <f>'Vykaz vymer rozdelovac'!C6</f>
        <v> </v>
      </c>
      <c r="D6" s="83"/>
      <c r="E6" s="88" t="s">
        <v>323</v>
      </c>
      <c r="F6" s="88" t="str">
        <f>'Vykaz vymer rozdelovac'!K6</f>
        <v>THERMPROJEKT s.r.o. Zlín</v>
      </c>
      <c r="G6" s="83"/>
      <c r="H6" s="88" t="s">
        <v>235</v>
      </c>
      <c r="I6" s="90" t="s">
        <v>255</v>
      </c>
    </row>
    <row r="7" spans="1:9" ht="15" customHeight="1">
      <c r="A7" s="82"/>
      <c r="B7" s="83"/>
      <c r="C7" s="83"/>
      <c r="D7" s="83"/>
      <c r="E7" s="83"/>
      <c r="F7" s="83"/>
      <c r="G7" s="83"/>
      <c r="H7" s="83"/>
      <c r="I7" s="90"/>
    </row>
    <row r="8" spans="1:9" ht="15" customHeight="1">
      <c r="A8" s="84" t="s">
        <v>328</v>
      </c>
      <c r="B8" s="83"/>
      <c r="C8" s="88" t="str">
        <f>'Vykaz vymer rozdelovac'!I4</f>
        <v>01.07.2024</v>
      </c>
      <c r="D8" s="83"/>
      <c r="E8" s="88" t="s">
        <v>122</v>
      </c>
      <c r="F8" s="88" t="str">
        <f>'Vykaz vymer rozdelovac'!I6</f>
        <v>31.08.2024</v>
      </c>
      <c r="G8" s="83"/>
      <c r="H8" s="83" t="s">
        <v>378</v>
      </c>
      <c r="I8" s="113">
        <v>97</v>
      </c>
    </row>
    <row r="9" spans="1:9" ht="15" customHeight="1">
      <c r="A9" s="82"/>
      <c r="B9" s="83"/>
      <c r="C9" s="83"/>
      <c r="D9" s="83"/>
      <c r="E9" s="83"/>
      <c r="F9" s="83"/>
      <c r="G9" s="83"/>
      <c r="H9" s="83"/>
      <c r="I9" s="90"/>
    </row>
    <row r="10" spans="1:9" ht="15" customHeight="1">
      <c r="A10" s="84" t="s">
        <v>179</v>
      </c>
      <c r="B10" s="83"/>
      <c r="C10" s="88" t="str">
        <f>'Vykaz vymer rozdelovac'!C8</f>
        <v> </v>
      </c>
      <c r="D10" s="83"/>
      <c r="E10" s="88" t="s">
        <v>243</v>
      </c>
      <c r="F10" s="88" t="str">
        <f>'Vykaz vymer rozdelovac'!K8</f>
        <v>ing. Ženožička</v>
      </c>
      <c r="G10" s="83"/>
      <c r="H10" s="83" t="s">
        <v>360</v>
      </c>
      <c r="I10" s="114" t="str">
        <f>'Vykaz vymer rozdelovac'!I8</f>
        <v>05.01.2024</v>
      </c>
    </row>
    <row r="11" spans="1:9" ht="15" customHeight="1">
      <c r="A11" s="111"/>
      <c r="B11" s="112"/>
      <c r="C11" s="112"/>
      <c r="D11" s="112"/>
      <c r="E11" s="112"/>
      <c r="F11" s="112"/>
      <c r="G11" s="112"/>
      <c r="H11" s="112"/>
      <c r="I11" s="91"/>
    </row>
    <row r="13" spans="1:5" ht="15.75" customHeight="1">
      <c r="A13" s="142" t="s">
        <v>145</v>
      </c>
      <c r="B13" s="142"/>
      <c r="C13" s="142"/>
      <c r="D13" s="142"/>
      <c r="E13" s="142"/>
    </row>
    <row r="14" spans="1:9" ht="15" customHeight="1">
      <c r="A14" s="143" t="s">
        <v>421</v>
      </c>
      <c r="B14" s="144"/>
      <c r="C14" s="144"/>
      <c r="D14" s="144"/>
      <c r="E14" s="145"/>
      <c r="F14" s="11" t="s">
        <v>390</v>
      </c>
      <c r="G14" s="11" t="s">
        <v>324</v>
      </c>
      <c r="H14" s="11" t="s">
        <v>97</v>
      </c>
      <c r="I14" s="11" t="s">
        <v>390</v>
      </c>
    </row>
    <row r="15" spans="1:9" ht="15" customHeight="1">
      <c r="A15" s="111" t="s">
        <v>263</v>
      </c>
      <c r="B15" s="112"/>
      <c r="C15" s="112"/>
      <c r="D15" s="112"/>
      <c r="E15" s="91"/>
      <c r="F15" s="14">
        <v>0</v>
      </c>
      <c r="G15" s="38" t="s">
        <v>255</v>
      </c>
      <c r="H15" s="38" t="s">
        <v>255</v>
      </c>
      <c r="I15" s="14">
        <f>F15</f>
        <v>0</v>
      </c>
    </row>
    <row r="16" spans="1:9" ht="15" customHeight="1">
      <c r="A16" s="111" t="s">
        <v>44</v>
      </c>
      <c r="B16" s="112"/>
      <c r="C16" s="112"/>
      <c r="D16" s="112"/>
      <c r="E16" s="91"/>
      <c r="F16" s="14">
        <v>0</v>
      </c>
      <c r="G16" s="38" t="s">
        <v>255</v>
      </c>
      <c r="H16" s="38" t="s">
        <v>255</v>
      </c>
      <c r="I16" s="14">
        <f>F16</f>
        <v>0</v>
      </c>
    </row>
    <row r="17" spans="1:9" ht="15" customHeight="1">
      <c r="A17" s="82" t="s">
        <v>269</v>
      </c>
      <c r="B17" s="83"/>
      <c r="C17" s="83"/>
      <c r="D17" s="83"/>
      <c r="E17" s="90"/>
      <c r="F17" s="66">
        <v>0</v>
      </c>
      <c r="G17" s="5" t="s">
        <v>255</v>
      </c>
      <c r="H17" s="5" t="s">
        <v>255</v>
      </c>
      <c r="I17" s="66">
        <f>F17</f>
        <v>0</v>
      </c>
    </row>
    <row r="18" spans="1:9" ht="15" customHeight="1">
      <c r="A18" s="146" t="s">
        <v>404</v>
      </c>
      <c r="B18" s="147"/>
      <c r="C18" s="147"/>
      <c r="D18" s="147"/>
      <c r="E18" s="148"/>
      <c r="F18" s="49" t="s">
        <v>255</v>
      </c>
      <c r="G18" s="51" t="s">
        <v>255</v>
      </c>
      <c r="H18" s="51" t="s">
        <v>255</v>
      </c>
      <c r="I18" s="67">
        <f>SUM(I15:I17)</f>
        <v>0</v>
      </c>
    </row>
    <row r="20" spans="1:9" ht="15" customHeight="1">
      <c r="A20" s="143" t="s">
        <v>74</v>
      </c>
      <c r="B20" s="144"/>
      <c r="C20" s="144"/>
      <c r="D20" s="144"/>
      <c r="E20" s="145"/>
      <c r="F20" s="11" t="s">
        <v>390</v>
      </c>
      <c r="G20" s="11" t="s">
        <v>324</v>
      </c>
      <c r="H20" s="11" t="s">
        <v>97</v>
      </c>
      <c r="I20" s="11" t="s">
        <v>390</v>
      </c>
    </row>
    <row r="21" spans="1:9" ht="15" customHeight="1">
      <c r="A21" s="111" t="s">
        <v>47</v>
      </c>
      <c r="B21" s="112"/>
      <c r="C21" s="112"/>
      <c r="D21" s="112"/>
      <c r="E21" s="91"/>
      <c r="F21" s="38" t="s">
        <v>255</v>
      </c>
      <c r="G21" s="14">
        <v>2.4</v>
      </c>
      <c r="H21" s="14">
        <f>'Krycí list topeni'!C22</f>
        <v>0</v>
      </c>
      <c r="I21" s="14">
        <f>ROUND((G21/100)*H21,2)</f>
        <v>0</v>
      </c>
    </row>
    <row r="22" spans="1:9" ht="15" customHeight="1">
      <c r="A22" s="111" t="s">
        <v>289</v>
      </c>
      <c r="B22" s="112"/>
      <c r="C22" s="112"/>
      <c r="D22" s="112"/>
      <c r="E22" s="91"/>
      <c r="F22" s="14">
        <v>0</v>
      </c>
      <c r="G22" s="38" t="s">
        <v>255</v>
      </c>
      <c r="H22" s="38" t="s">
        <v>255</v>
      </c>
      <c r="I22" s="14">
        <f>F22</f>
        <v>0</v>
      </c>
    </row>
    <row r="23" spans="1:9" ht="15" customHeight="1">
      <c r="A23" s="111" t="s">
        <v>358</v>
      </c>
      <c r="B23" s="112"/>
      <c r="C23" s="112"/>
      <c r="D23" s="112"/>
      <c r="E23" s="91"/>
      <c r="F23" s="14">
        <v>0</v>
      </c>
      <c r="G23" s="38" t="s">
        <v>255</v>
      </c>
      <c r="H23" s="38" t="s">
        <v>255</v>
      </c>
      <c r="I23" s="14">
        <f>F23</f>
        <v>0</v>
      </c>
    </row>
    <row r="24" spans="1:9" ht="15" customHeight="1">
      <c r="A24" s="111" t="s">
        <v>200</v>
      </c>
      <c r="B24" s="112"/>
      <c r="C24" s="112"/>
      <c r="D24" s="112"/>
      <c r="E24" s="91"/>
      <c r="F24" s="14">
        <v>0</v>
      </c>
      <c r="G24" s="38" t="s">
        <v>255</v>
      </c>
      <c r="H24" s="38" t="s">
        <v>255</v>
      </c>
      <c r="I24" s="14">
        <f>F24</f>
        <v>0</v>
      </c>
    </row>
    <row r="25" spans="1:9" ht="15" customHeight="1">
      <c r="A25" s="111" t="s">
        <v>236</v>
      </c>
      <c r="B25" s="112"/>
      <c r="C25" s="112"/>
      <c r="D25" s="112"/>
      <c r="E25" s="91"/>
      <c r="F25" s="14">
        <v>0</v>
      </c>
      <c r="G25" s="38" t="s">
        <v>255</v>
      </c>
      <c r="H25" s="38" t="s">
        <v>255</v>
      </c>
      <c r="I25" s="14">
        <f>F25</f>
        <v>0</v>
      </c>
    </row>
    <row r="26" spans="1:9" ht="15" customHeight="1">
      <c r="A26" s="82" t="s">
        <v>370</v>
      </c>
      <c r="B26" s="83"/>
      <c r="C26" s="83"/>
      <c r="D26" s="83"/>
      <c r="E26" s="90"/>
      <c r="F26" s="66">
        <v>0</v>
      </c>
      <c r="G26" s="5" t="s">
        <v>255</v>
      </c>
      <c r="H26" s="5" t="s">
        <v>255</v>
      </c>
      <c r="I26" s="66">
        <f>F26</f>
        <v>0</v>
      </c>
    </row>
    <row r="27" spans="1:9" ht="15" customHeight="1">
      <c r="A27" s="146" t="s">
        <v>154</v>
      </c>
      <c r="B27" s="147"/>
      <c r="C27" s="147"/>
      <c r="D27" s="147"/>
      <c r="E27" s="148"/>
      <c r="F27" s="49" t="s">
        <v>255</v>
      </c>
      <c r="G27" s="51" t="s">
        <v>255</v>
      </c>
      <c r="H27" s="51" t="s">
        <v>255</v>
      </c>
      <c r="I27" s="67">
        <f>SUM(I21:I26)</f>
        <v>0</v>
      </c>
    </row>
    <row r="29" spans="1:9" ht="15.75" customHeight="1">
      <c r="A29" s="149" t="s">
        <v>396</v>
      </c>
      <c r="B29" s="150"/>
      <c r="C29" s="150"/>
      <c r="D29" s="150"/>
      <c r="E29" s="151"/>
      <c r="F29" s="152">
        <f>I18+I27</f>
        <v>0</v>
      </c>
      <c r="G29" s="153"/>
      <c r="H29" s="153"/>
      <c r="I29" s="154"/>
    </row>
    <row r="33" spans="1:5" ht="15.75" customHeight="1">
      <c r="A33" s="142" t="s">
        <v>384</v>
      </c>
      <c r="B33" s="142"/>
      <c r="C33" s="142"/>
      <c r="D33" s="142"/>
      <c r="E33" s="142"/>
    </row>
    <row r="34" spans="1:9" ht="15" customHeight="1">
      <c r="A34" s="143" t="s">
        <v>401</v>
      </c>
      <c r="B34" s="144"/>
      <c r="C34" s="144"/>
      <c r="D34" s="144"/>
      <c r="E34" s="145"/>
      <c r="F34" s="11" t="s">
        <v>390</v>
      </c>
      <c r="G34" s="11" t="s">
        <v>324</v>
      </c>
      <c r="H34" s="11" t="s">
        <v>97</v>
      </c>
      <c r="I34" s="11" t="s">
        <v>390</v>
      </c>
    </row>
    <row r="35" spans="1:9" ht="15" customHeight="1">
      <c r="A35" s="82" t="s">
        <v>255</v>
      </c>
      <c r="B35" s="83"/>
      <c r="C35" s="83"/>
      <c r="D35" s="83"/>
      <c r="E35" s="90"/>
      <c r="F35" s="66">
        <v>0</v>
      </c>
      <c r="G35" s="5" t="s">
        <v>255</v>
      </c>
      <c r="H35" s="5" t="s">
        <v>255</v>
      </c>
      <c r="I35" s="66">
        <f>F35</f>
        <v>0</v>
      </c>
    </row>
    <row r="36" spans="1:9" ht="15" customHeight="1">
      <c r="A36" s="146" t="s">
        <v>137</v>
      </c>
      <c r="B36" s="147"/>
      <c r="C36" s="147"/>
      <c r="D36" s="147"/>
      <c r="E36" s="148"/>
      <c r="F36" s="49" t="s">
        <v>255</v>
      </c>
      <c r="G36" s="51" t="s">
        <v>255</v>
      </c>
      <c r="H36" s="51" t="s">
        <v>255</v>
      </c>
      <c r="I36" s="67">
        <f>SUM(I35:I35)</f>
        <v>0</v>
      </c>
    </row>
  </sheetData>
  <sheetProtection/>
  <mergeCells count="51">
    <mergeCell ref="F29:I29"/>
    <mergeCell ref="A33:E33"/>
    <mergeCell ref="A34:E34"/>
    <mergeCell ref="A35:E35"/>
    <mergeCell ref="A22:E22"/>
    <mergeCell ref="A23:E23"/>
    <mergeCell ref="A24:E24"/>
    <mergeCell ref="A25:E25"/>
    <mergeCell ref="A26:E26"/>
    <mergeCell ref="A36:E36"/>
    <mergeCell ref="A27:E27"/>
    <mergeCell ref="A29:E29"/>
    <mergeCell ref="A15:E15"/>
    <mergeCell ref="A16:E16"/>
    <mergeCell ref="A17:E17"/>
    <mergeCell ref="A18:E18"/>
    <mergeCell ref="A20:E20"/>
    <mergeCell ref="A21:E21"/>
    <mergeCell ref="A13:E13"/>
    <mergeCell ref="C2:D3"/>
    <mergeCell ref="C4:D5"/>
    <mergeCell ref="C6:D7"/>
    <mergeCell ref="C8:D9"/>
    <mergeCell ref="A14:E14"/>
    <mergeCell ref="F10:G11"/>
    <mergeCell ref="E10:E11"/>
    <mergeCell ref="I2:I3"/>
    <mergeCell ref="I4:I5"/>
    <mergeCell ref="I6:I7"/>
    <mergeCell ref="I8:I9"/>
    <mergeCell ref="I10:I11"/>
    <mergeCell ref="A1:I1"/>
    <mergeCell ref="A2:B3"/>
    <mergeCell ref="A4:B5"/>
    <mergeCell ref="A6:B7"/>
    <mergeCell ref="A8:B9"/>
    <mergeCell ref="C10:D11"/>
    <mergeCell ref="F2:G3"/>
    <mergeCell ref="F4:G5"/>
    <mergeCell ref="F6:G7"/>
    <mergeCell ref="F8:G9"/>
    <mergeCell ref="A10:B11"/>
    <mergeCell ref="E2:E3"/>
    <mergeCell ref="E4:E5"/>
    <mergeCell ref="E6:E7"/>
    <mergeCell ref="E8:E9"/>
    <mergeCell ref="H2:H3"/>
    <mergeCell ref="H4:H5"/>
    <mergeCell ref="H6:H7"/>
    <mergeCell ref="H8:H9"/>
    <mergeCell ref="H10:H11"/>
  </mergeCells>
  <printOptions/>
  <pageMargins left="0.394" right="0.394" top="0.591" bottom="0.591" header="0" footer="0"/>
  <pageSetup firstPageNumber="0" useFirstPageNumber="1" fitToHeight="0" fitToWidth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Tomáš Sýkora</cp:lastModifiedBy>
  <dcterms:created xsi:type="dcterms:W3CDTF">2021-06-10T20:06:38Z</dcterms:created>
  <dcterms:modified xsi:type="dcterms:W3CDTF">2024-03-04T18:47:20Z</dcterms:modified>
  <cp:category/>
  <cp:version/>
  <cp:contentType/>
  <cp:contentStatus/>
</cp:coreProperties>
</file>