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1"/>
  </bookViews>
  <sheets>
    <sheet name="Vykaz vymer plyn" sheetId="1" r:id="rId1"/>
    <sheet name="Krycí list plyn" sheetId="2" r:id="rId2"/>
    <sheet name="VORN" sheetId="3" state="hidden" r:id="rId3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<sst xmlns="http://schemas.openxmlformats.org/spreadsheetml/2006/main" count="491" uniqueCount="198">
  <si>
    <t>Doba výstavby:</t>
  </si>
  <si>
    <t>Projektant</t>
  </si>
  <si>
    <t>Základ 15%</t>
  </si>
  <si>
    <t>723239102R00</t>
  </si>
  <si>
    <t>723120203R00</t>
  </si>
  <si>
    <t>723190918R00</t>
  </si>
  <si>
    <t>Základ 21%</t>
  </si>
  <si>
    <t>20</t>
  </si>
  <si>
    <t>Dodávka</t>
  </si>
  <si>
    <t>NUS celkem z obj.</t>
  </si>
  <si>
    <t>72_</t>
  </si>
  <si>
    <t>Název stavby:</t>
  </si>
  <si>
    <t>Ostatní materiál</t>
  </si>
  <si>
    <t>Č</t>
  </si>
  <si>
    <t>Poznámka:</t>
  </si>
  <si>
    <t>Lokalita:</t>
  </si>
  <si>
    <t>16</t>
  </si>
  <si>
    <t>PSV</t>
  </si>
  <si>
    <t>24</t>
  </si>
  <si>
    <t>Bez pevné podl.</t>
  </si>
  <si>
    <t>Celkem</t>
  </si>
  <si>
    <t>734200822R00</t>
  </si>
  <si>
    <t>723190913R00</t>
  </si>
  <si>
    <t>Zařízení staveniště</t>
  </si>
  <si>
    <t>723120809R00</t>
  </si>
  <si>
    <t>723150353R00</t>
  </si>
  <si>
    <t>4</t>
  </si>
  <si>
    <t>Základní rozpočtové náklady</t>
  </si>
  <si>
    <t>31.08.2024</t>
  </si>
  <si>
    <t>Celkem bez DPH</t>
  </si>
  <si>
    <t>Vedlejší a ostatní rozpočtové náklady</t>
  </si>
  <si>
    <t>6</t>
  </si>
  <si>
    <t>Rozpočtové náklady v Kč</t>
  </si>
  <si>
    <t>B</t>
  </si>
  <si>
    <t>Náklady na umístění stavby (NUS)</t>
  </si>
  <si>
    <t>734421150R00</t>
  </si>
  <si>
    <t>Montáž</t>
  </si>
  <si>
    <t>Datum, razítko a podpis</t>
  </si>
  <si>
    <t>ZRN celkem</t>
  </si>
  <si>
    <t>Revize, revizní kniha</t>
  </si>
  <si>
    <t>Demontáž potrubí svařovaného závitového DN 25-50</t>
  </si>
  <si>
    <t>DPH 15%</t>
  </si>
  <si>
    <t>Krycí list slepého rozpočtu</t>
  </si>
  <si>
    <t>Základna</t>
  </si>
  <si>
    <t>25</t>
  </si>
  <si>
    <t>kus</t>
  </si>
  <si>
    <t>Dodávky</t>
  </si>
  <si>
    <t>soustava</t>
  </si>
  <si>
    <t>Ostatní mat.</t>
  </si>
  <si>
    <t>Cenová</t>
  </si>
  <si>
    <t>Potrubí ocelové hladké černé svařované D 57 x 2,9 mm</t>
  </si>
  <si>
    <t>HSV prac</t>
  </si>
  <si>
    <t>13</t>
  </si>
  <si>
    <t>"M"</t>
  </si>
  <si>
    <t>VORN celkem z obj.</t>
  </si>
  <si>
    <t>Cena/MJ</t>
  </si>
  <si>
    <t>Konec výstavby:</t>
  </si>
  <si>
    <t>12. ZŠ  Mikoláše  Alše  558  Zlín,  Podhoří</t>
  </si>
  <si>
    <t>Kód</t>
  </si>
  <si>
    <t>723229102R00</t>
  </si>
  <si>
    <t>Montáž plynovodních armatur, 2 závity, G 5/4</t>
  </si>
  <si>
    <t>Demontáž armatur s 1závitem do G 1</t>
  </si>
  <si>
    <t>Demontáž armatur se 2závity do G 2</t>
  </si>
  <si>
    <t>soubor</t>
  </si>
  <si>
    <t>MJ</t>
  </si>
  <si>
    <t>723237216R00</t>
  </si>
  <si>
    <t>Celkem ORN</t>
  </si>
  <si>
    <t>734200812R00</t>
  </si>
  <si>
    <t>Doplňkové náklady</t>
  </si>
  <si>
    <t>Potrubí ocelové hladké černé svařované D 38 x 2,6 mm</t>
  </si>
  <si>
    <t>PSV prac</t>
  </si>
  <si>
    <t>HSV</t>
  </si>
  <si>
    <t>Vedlejší rozpočtové náklady VRN</t>
  </si>
  <si>
    <t>9</t>
  </si>
  <si>
    <t>15</t>
  </si>
  <si>
    <t>ISWORK</t>
  </si>
  <si>
    <t>Celkem včetně DPH</t>
  </si>
  <si>
    <t>Celkem NUS</t>
  </si>
  <si>
    <t>Základ 0%</t>
  </si>
  <si>
    <t>Kohout kulový,2xvnitřní závit, DN 20</t>
  </si>
  <si>
    <t>Mont prac</t>
  </si>
  <si>
    <t>723239104R00</t>
  </si>
  <si>
    <t>723190907R00</t>
  </si>
  <si>
    <t>05.01.2024</t>
  </si>
  <si>
    <t>23</t>
  </si>
  <si>
    <t>RTS II / 2023</t>
  </si>
  <si>
    <t>t</t>
  </si>
  <si>
    <t>723_</t>
  </si>
  <si>
    <t>9006VD</t>
  </si>
  <si>
    <t>Vnitřní plynovod</t>
  </si>
  <si>
    <t>JKSO:</t>
  </si>
  <si>
    <t>Demontáž potrubí svařovaného závitového do DN 25</t>
  </si>
  <si>
    <t>DN celkem</t>
  </si>
  <si>
    <t>GROUPCODE</t>
  </si>
  <si>
    <t>Provozní vlivy</t>
  </si>
  <si>
    <t>5</t>
  </si>
  <si>
    <t>723190909R00</t>
  </si>
  <si>
    <t>Druh stavby:</t>
  </si>
  <si>
    <t>Zpracováno dne:</t>
  </si>
  <si>
    <t>Demontáž armatur se 2závity do G 1</t>
  </si>
  <si>
    <t>10</t>
  </si>
  <si>
    <t>998723102R00</t>
  </si>
  <si>
    <t>14</t>
  </si>
  <si>
    <t>Množství</t>
  </si>
  <si>
    <t>VORN celkem</t>
  </si>
  <si>
    <t>Typ skupiny</t>
  </si>
  <si>
    <t>19</t>
  </si>
  <si>
    <t>C</t>
  </si>
  <si>
    <t>Náklady (Kč)</t>
  </si>
  <si>
    <t>IČO/DIČ:</t>
  </si>
  <si>
    <t>Ostatní</t>
  </si>
  <si>
    <t>734200824R00</t>
  </si>
  <si>
    <t>ing. Rudolf Ženožička</t>
  </si>
  <si>
    <t>Zpracoval:</t>
  </si>
  <si>
    <t>01.07.2024</t>
  </si>
  <si>
    <t>Zhotovitel</t>
  </si>
  <si>
    <t>723120804R00</t>
  </si>
  <si>
    <t>2</t>
  </si>
  <si>
    <t>Projektant:</t>
  </si>
  <si>
    <t/>
  </si>
  <si>
    <t>723190901R00</t>
  </si>
  <si>
    <t>ing. Ženožička</t>
  </si>
  <si>
    <t>17</t>
  </si>
  <si>
    <t>21</t>
  </si>
  <si>
    <t>723150305R00</t>
  </si>
  <si>
    <t>Práce přesčas</t>
  </si>
  <si>
    <t>723</t>
  </si>
  <si>
    <t>723225114R00</t>
  </si>
  <si>
    <t>12</t>
  </si>
  <si>
    <t>Montáž plynovodních armatur, 2 závity, G 3/4</t>
  </si>
  <si>
    <t>Kulturní památka</t>
  </si>
  <si>
    <t>DPH 21%</t>
  </si>
  <si>
    <t>Zhotovení redukce kováním přes 2 DN, DN 65/32 mm</t>
  </si>
  <si>
    <t>Kohout kulový,2xvnitřní závit,DN 32</t>
  </si>
  <si>
    <t>Odvzdušnění a napuštění plynového potrubí</t>
  </si>
  <si>
    <t>_</t>
  </si>
  <si>
    <t>kpl</t>
  </si>
  <si>
    <t>723120805R00</t>
  </si>
  <si>
    <t>Přesuny</t>
  </si>
  <si>
    <t>MAT</t>
  </si>
  <si>
    <t>8</t>
  </si>
  <si>
    <t>Celkem:</t>
  </si>
  <si>
    <t>Mimostav. doprava</t>
  </si>
  <si>
    <t>723150312R00</t>
  </si>
  <si>
    <t>18</t>
  </si>
  <si>
    <t>DN celkem z obj.</t>
  </si>
  <si>
    <t>Zkouška tlaková  plynového potrubí</t>
  </si>
  <si>
    <t>m</t>
  </si>
  <si>
    <t>11</t>
  </si>
  <si>
    <t>Objednatel:</t>
  </si>
  <si>
    <t>PSV mat</t>
  </si>
  <si>
    <t>Uzavření nebo otevření plynového potrubí</t>
  </si>
  <si>
    <t>3</t>
  </si>
  <si>
    <t>Ventil vzorkov.přímý.vnější z. DN15</t>
  </si>
  <si>
    <t>Potrubí ocelové závitové černé svařované DN 20</t>
  </si>
  <si>
    <t>Zhotovitel:</t>
  </si>
  <si>
    <t>%</t>
  </si>
  <si>
    <t>Začátek výstavby:</t>
  </si>
  <si>
    <t>A</t>
  </si>
  <si>
    <t>Mont mat</t>
  </si>
  <si>
    <t>Montáž plynovod.armatur s 1závitem, G 1/2</t>
  </si>
  <si>
    <t xml:space="preserve"> </t>
  </si>
  <si>
    <t>62 dní</t>
  </si>
  <si>
    <t>Objednatel</t>
  </si>
  <si>
    <t>(Kč)</t>
  </si>
  <si>
    <t>783424340R00</t>
  </si>
  <si>
    <t>22</t>
  </si>
  <si>
    <t>Územní vlivy</t>
  </si>
  <si>
    <t>Demontáž potrubí svařovaného závitového DN 50 - 80 mm</t>
  </si>
  <si>
    <t>Datum:</t>
  </si>
  <si>
    <t>Přesun hmot a sutí</t>
  </si>
  <si>
    <t>NUS z rozpočtu</t>
  </si>
  <si>
    <t>1</t>
  </si>
  <si>
    <t>7</t>
  </si>
  <si>
    <t>Rozměry</t>
  </si>
  <si>
    <t>Položek:</t>
  </si>
  <si>
    <t>NUS celkem</t>
  </si>
  <si>
    <t>WORK</t>
  </si>
  <si>
    <t>Ostatní rozpočtové náklady ORN</t>
  </si>
  <si>
    <t>HSV mat</t>
  </si>
  <si>
    <t>Kč</t>
  </si>
  <si>
    <t>723237214R00</t>
  </si>
  <si>
    <t>Nátěr syntet. potrubí do DN 50 mm  Z+2x +1x email</t>
  </si>
  <si>
    <t>Celkem VRN</t>
  </si>
  <si>
    <t>Tlakoměr deformační 0-6 kPa , D 100</t>
  </si>
  <si>
    <t>Přesun hmot pro vnitřní plynovod, výšky do 12 m</t>
  </si>
  <si>
    <t>Ostatní rozpočtové náklady (ORN)</t>
  </si>
  <si>
    <t>Celkem DN</t>
  </si>
  <si>
    <t>THERMPROJEKT s.r.o. Zlín</t>
  </si>
  <si>
    <t>Zkrácený popis</t>
  </si>
  <si>
    <t>CELK</t>
  </si>
  <si>
    <t>VATTAX</t>
  </si>
  <si>
    <t>Navaření odbočky na plynové potrubí DN 65 mm</t>
  </si>
  <si>
    <t>Doplňkové náklady DN</t>
  </si>
  <si>
    <t>Navaření odbočky na plynové potrubí DN 20</t>
  </si>
  <si>
    <t>STATUTÁRNÍ MĚSTO ZLÍN</t>
  </si>
  <si>
    <t>Výkaz výměr</t>
  </si>
  <si>
    <t>REKONSTRUKCE PLYNOVÉ KOTELNY - vnitřní plynoinstalace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</si>
</sst>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7"/>
      <name val="Arial"/>
      <family val="0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sz val="18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0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i/>
      <sz val="8"/>
      <color rgb="FF000000"/>
      <name val="Arial"/>
      <family val="0"/>
    </font>
    <font>
      <b/>
      <sz val="12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2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>
        <color rgb="FFC0C0C0"/>
      </left>
      <right>
        <color rgb="FFC0C0C0"/>
      </right>
      <top>
        <color rgb="FFC0C0C0"/>
      </top>
      <bottom style="thin">
        <color rgb="FFC0C0C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rgb="FF000000"/>
      </top>
      <bottom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>
        <color rgb="FF000000"/>
      </left>
      <right/>
      <top/>
      <bottom style="medium">
        <color rgb="FF000000"/>
      </bottom>
    </border>
    <border>
      <left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C0C0C0"/>
      </left>
      <right>
        <color rgb="FFC0C0C0"/>
      </right>
      <top>
        <color rgb="FFC0C0C0"/>
      </top>
      <bottom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right>
        <color rgb="FFC0C0C0"/>
      </right>
      <top>
        <color rgb="FFC0C0C0"/>
      </top>
      <bottom style="thin">
        <color rgb="FFC0C0C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/>
      <right/>
      <top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0">
    <xf numFmtId="0" fontId="1" fillId="0" borderId="0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right" vertical="center"/>
      <protection/>
    </xf>
    <xf numFmtId="4" fontId="46" fillId="0" borderId="10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7" fillId="0" borderId="12" xfId="0" applyNumberFormat="1" applyFont="1" applyFill="1" applyBorder="1" applyAlignment="1" applyProtection="1">
      <alignment horizontal="center" vertical="center"/>
      <protection/>
    </xf>
    <xf numFmtId="4" fontId="45" fillId="0" borderId="13" xfId="0" applyNumberFormat="1" applyFont="1" applyFill="1" applyBorder="1" applyAlignment="1" applyProtection="1">
      <alignment horizontal="right" vertical="center"/>
      <protection/>
    </xf>
    <xf numFmtId="0" fontId="46" fillId="33" borderId="14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4" fontId="45" fillId="0" borderId="17" xfId="0" applyNumberFormat="1" applyFont="1" applyFill="1" applyBorder="1" applyAlignment="1" applyProtection="1">
      <alignment horizontal="righ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8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19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33" borderId="14" xfId="0" applyNumberFormat="1" applyFont="1" applyFill="1" applyBorder="1" applyAlignment="1" applyProtection="1">
      <alignment horizontal="right" vertical="center"/>
      <protection/>
    </xf>
    <xf numFmtId="4" fontId="47" fillId="34" borderId="0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49" fillId="0" borderId="21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4" fontId="47" fillId="0" borderId="11" xfId="0" applyNumberFormat="1" applyFont="1" applyFill="1" applyBorder="1" applyAlignment="1" applyProtection="1">
      <alignment horizontal="right" vertical="center"/>
      <protection/>
    </xf>
    <xf numFmtId="0" fontId="46" fillId="34" borderId="0" xfId="0" applyNumberFormat="1" applyFont="1" applyFill="1" applyBorder="1" applyAlignment="1" applyProtection="1">
      <alignment horizontal="left" vertical="center"/>
      <protection/>
    </xf>
    <xf numFmtId="0" fontId="47" fillId="0" borderId="22" xfId="0" applyNumberFormat="1" applyFont="1" applyFill="1" applyBorder="1" applyAlignment="1" applyProtection="1">
      <alignment horizontal="center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4" fontId="49" fillId="34" borderId="16" xfId="0" applyNumberFormat="1" applyFont="1" applyFill="1" applyBorder="1" applyAlignment="1" applyProtection="1">
      <alignment horizontal="right" vertical="center"/>
      <protection/>
    </xf>
    <xf numFmtId="0" fontId="47" fillId="0" borderId="23" xfId="0" applyNumberFormat="1" applyFont="1" applyFill="1" applyBorder="1" applyAlignment="1" applyProtection="1">
      <alignment horizontal="center" vertical="center"/>
      <protection/>
    </xf>
    <xf numFmtId="4" fontId="45" fillId="0" borderId="16" xfId="0" applyNumberFormat="1" applyFont="1" applyFill="1" applyBorder="1" applyAlignment="1" applyProtection="1">
      <alignment horizontal="right" vertical="center"/>
      <protection/>
    </xf>
    <xf numFmtId="4" fontId="46" fillId="0" borderId="16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24" xfId="0" applyNumberFormat="1" applyFont="1" applyFill="1" applyBorder="1" applyAlignment="1" applyProtection="1">
      <alignment horizontal="left" vertical="center"/>
      <protection/>
    </xf>
    <xf numFmtId="0" fontId="47" fillId="34" borderId="0" xfId="0" applyNumberFormat="1" applyFont="1" applyFill="1" applyBorder="1" applyAlignment="1" applyProtection="1">
      <alignment horizontal="right" vertical="center"/>
      <protection/>
    </xf>
    <xf numFmtId="0" fontId="47" fillId="34" borderId="0" xfId="0" applyNumberFormat="1" applyFont="1" applyFill="1" applyBorder="1" applyAlignment="1" applyProtection="1">
      <alignment horizontal="right" vertical="center"/>
      <protection/>
    </xf>
    <xf numFmtId="0" fontId="46" fillId="33" borderId="25" xfId="0" applyNumberFormat="1" applyFont="1" applyFill="1" applyBorder="1" applyAlignment="1" applyProtection="1">
      <alignment horizontal="left" vertical="center"/>
      <protection/>
    </xf>
    <xf numFmtId="0" fontId="50" fillId="34" borderId="26" xfId="0" applyNumberFormat="1" applyFont="1" applyFill="1" applyBorder="1" applyAlignment="1" applyProtection="1">
      <alignment horizontal="center" vertical="center"/>
      <protection/>
    </xf>
    <xf numFmtId="0" fontId="46" fillId="0" borderId="13" xfId="0" applyNumberFormat="1" applyFont="1" applyFill="1" applyBorder="1" applyAlignment="1" applyProtection="1">
      <alignment horizontal="left" vertical="center"/>
      <protection/>
    </xf>
    <xf numFmtId="0" fontId="50" fillId="34" borderId="17" xfId="0" applyNumberFormat="1" applyFont="1" applyFill="1" applyBorder="1" applyAlignment="1" applyProtection="1">
      <alignment horizontal="center" vertical="center"/>
      <protection/>
    </xf>
    <xf numFmtId="0" fontId="47" fillId="34" borderId="0" xfId="0" applyNumberFormat="1" applyFont="1" applyFill="1" applyBorder="1" applyAlignment="1" applyProtection="1">
      <alignment horizontal="left" vertical="center"/>
      <protection/>
    </xf>
    <xf numFmtId="0" fontId="46" fillId="34" borderId="18" xfId="0" applyNumberFormat="1" applyFont="1" applyFill="1" applyBorder="1" applyAlignment="1" applyProtection="1">
      <alignment horizontal="left" vertical="center"/>
      <protection/>
    </xf>
    <xf numFmtId="0" fontId="46" fillId="33" borderId="27" xfId="0" applyNumberFormat="1" applyFont="1" applyFill="1" applyBorder="1" applyAlignment="1" applyProtection="1">
      <alignment horizontal="left" vertical="center"/>
      <protection/>
    </xf>
    <xf numFmtId="0" fontId="47" fillId="0" borderId="28" xfId="0" applyNumberFormat="1" applyFont="1" applyFill="1" applyBorder="1" applyAlignment="1" applyProtection="1">
      <alignment horizontal="center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29" xfId="0" applyNumberFormat="1" applyFont="1" applyFill="1" applyBorder="1" applyAlignment="1" applyProtection="1">
      <alignment horizontal="center" vertical="center"/>
      <protection/>
    </xf>
    <xf numFmtId="0" fontId="46" fillId="33" borderId="25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7" fillId="0" borderId="13" xfId="0" applyNumberFormat="1" applyFont="1" applyFill="1" applyBorder="1" applyAlignment="1" applyProtection="1">
      <alignment horizontal="center" vertical="center"/>
      <protection/>
    </xf>
    <xf numFmtId="0" fontId="47" fillId="0" borderId="15" xfId="0" applyNumberFormat="1" applyFont="1" applyFill="1" applyBorder="1" applyAlignment="1" applyProtection="1">
      <alignment horizontal="center" vertical="center"/>
      <protection/>
    </xf>
    <xf numFmtId="4" fontId="45" fillId="0" borderId="10" xfId="0" applyNumberFormat="1" applyFont="1" applyFill="1" applyBorder="1" applyAlignment="1" applyProtection="1">
      <alignment horizontal="right" vertical="center"/>
      <protection/>
    </xf>
    <xf numFmtId="4" fontId="49" fillId="34" borderId="17" xfId="0" applyNumberFormat="1" applyFont="1" applyFill="1" applyBorder="1" applyAlignment="1" applyProtection="1">
      <alignment horizontal="right" vertical="center"/>
      <protection/>
    </xf>
    <xf numFmtId="4" fontId="46" fillId="33" borderId="14" xfId="0" applyNumberFormat="1" applyFont="1" applyFill="1" applyBorder="1" applyAlignment="1" applyProtection="1">
      <alignment horizontal="right" vertical="center"/>
      <protection/>
    </xf>
    <xf numFmtId="0" fontId="49" fillId="0" borderId="30" xfId="0" applyNumberFormat="1" applyFont="1" applyFill="1" applyBorder="1" applyAlignment="1" applyProtection="1">
      <alignment horizontal="left" vertical="center"/>
      <protection/>
    </xf>
    <xf numFmtId="4" fontId="47" fillId="34" borderId="0" xfId="0" applyNumberFormat="1" applyFont="1" applyFill="1" applyBorder="1" applyAlignment="1" applyProtection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4" fontId="46" fillId="3" borderId="0" xfId="0" applyNumberFormat="1" applyFont="1" applyFill="1" applyBorder="1" applyAlignment="1" applyProtection="1">
      <alignment horizontal="right" vertical="center"/>
      <protection/>
    </xf>
    <xf numFmtId="4" fontId="46" fillId="3" borderId="14" xfId="0" applyNumberFormat="1" applyFont="1" applyFill="1" applyBorder="1" applyAlignment="1" applyProtection="1">
      <alignment horizontal="right" vertical="center"/>
      <protection/>
    </xf>
    <xf numFmtId="4" fontId="45" fillId="3" borderId="17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31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18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8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 wrapText="1"/>
      <protection/>
    </xf>
    <xf numFmtId="0" fontId="46" fillId="0" borderId="33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23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32" xfId="0" applyNumberFormat="1" applyFont="1" applyFill="1" applyBorder="1" applyAlignment="1" applyProtection="1">
      <alignment horizontal="left" vertical="center" wrapText="1"/>
      <protection/>
    </xf>
    <xf numFmtId="0" fontId="47" fillId="0" borderId="32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34" xfId="0" applyNumberFormat="1" applyFont="1" applyFill="1" applyBorder="1" applyAlignment="1" applyProtection="1">
      <alignment horizontal="center" vertical="center"/>
      <protection/>
    </xf>
    <xf numFmtId="0" fontId="47" fillId="0" borderId="35" xfId="0" applyNumberFormat="1" applyFont="1" applyFill="1" applyBorder="1" applyAlignment="1" applyProtection="1">
      <alignment horizontal="center" vertical="center"/>
      <protection/>
    </xf>
    <xf numFmtId="0" fontId="47" fillId="0" borderId="19" xfId="0" applyNumberFormat="1" applyFont="1" applyFill="1" applyBorder="1" applyAlignment="1" applyProtection="1">
      <alignment horizontal="center" vertical="center"/>
      <protection/>
    </xf>
    <xf numFmtId="0" fontId="47" fillId="34" borderId="0" xfId="0" applyNumberFormat="1" applyFont="1" applyFill="1" applyBorder="1" applyAlignment="1" applyProtection="1">
      <alignment horizontal="left" vertical="center" wrapText="1"/>
      <protection/>
    </xf>
    <xf numFmtId="0" fontId="47" fillId="34" borderId="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 wrapText="1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33" borderId="14" xfId="0" applyNumberFormat="1" applyFont="1" applyFill="1" applyBorder="1" applyAlignment="1" applyProtection="1">
      <alignment horizontal="left" vertical="center" wrapText="1"/>
      <protection/>
    </xf>
    <xf numFmtId="0" fontId="46" fillId="33" borderId="14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36" xfId="0" applyNumberFormat="1" applyFont="1" applyFill="1" applyBorder="1" applyAlignment="1" applyProtection="1">
      <alignment horizontal="left" vertical="center"/>
      <protection/>
    </xf>
    <xf numFmtId="0" fontId="46" fillId="0" borderId="37" xfId="0" applyNumberFormat="1" applyFont="1" applyFill="1" applyBorder="1" applyAlignment="1" applyProtection="1">
      <alignment horizontal="left" vertical="center"/>
      <protection/>
    </xf>
    <xf numFmtId="1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38" xfId="0" applyNumberFormat="1" applyFont="1" applyFill="1" applyBorder="1" applyAlignment="1" applyProtection="1">
      <alignment horizontal="left" vertical="center"/>
      <protection/>
    </xf>
    <xf numFmtId="0" fontId="53" fillId="0" borderId="17" xfId="0" applyNumberFormat="1" applyFont="1" applyFill="1" applyBorder="1" applyAlignment="1" applyProtection="1">
      <alignment horizontal="left" vertical="center"/>
      <protection/>
    </xf>
    <xf numFmtId="0" fontId="49" fillId="0" borderId="36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49" fillId="0" borderId="18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39" xfId="0" applyNumberFormat="1" applyFont="1" applyFill="1" applyBorder="1" applyAlignment="1" applyProtection="1">
      <alignment horizontal="left" vertical="center"/>
      <protection/>
    </xf>
    <xf numFmtId="0" fontId="49" fillId="0" borderId="17" xfId="0" applyNumberFormat="1" applyFont="1" applyFill="1" applyBorder="1" applyAlignment="1" applyProtection="1">
      <alignment horizontal="left" vertical="center"/>
      <protection/>
    </xf>
    <xf numFmtId="0" fontId="45" fillId="0" borderId="37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38" xfId="0" applyNumberFormat="1" applyFont="1" applyFill="1" applyBorder="1" applyAlignment="1" applyProtection="1">
      <alignment horizontal="left" vertical="center"/>
      <protection/>
    </xf>
    <xf numFmtId="0" fontId="49" fillId="0" borderId="37" xfId="0" applyNumberFormat="1" applyFont="1" applyFill="1" applyBorder="1" applyAlignment="1" applyProtection="1">
      <alignment horizontal="left" vertical="center"/>
      <protection/>
    </xf>
    <xf numFmtId="0" fontId="49" fillId="34" borderId="39" xfId="0" applyNumberFormat="1" applyFont="1" applyFill="1" applyBorder="1" applyAlignment="1" applyProtection="1">
      <alignment horizontal="left" vertical="center"/>
      <protection/>
    </xf>
    <xf numFmtId="0" fontId="49" fillId="34" borderId="38" xfId="0" applyNumberFormat="1" applyFont="1" applyFill="1" applyBorder="1" applyAlignment="1" applyProtection="1">
      <alignment horizontal="left" vertical="center"/>
      <protection/>
    </xf>
    <xf numFmtId="0" fontId="49" fillId="34" borderId="36" xfId="0" applyNumberFormat="1" applyFont="1" applyFill="1" applyBorder="1" applyAlignment="1" applyProtection="1">
      <alignment horizontal="left" vertical="center"/>
      <protection/>
    </xf>
    <xf numFmtId="0" fontId="49" fillId="34" borderId="37" xfId="0" applyNumberFormat="1" applyFont="1" applyFill="1" applyBorder="1" applyAlignment="1" applyProtection="1">
      <alignment horizontal="left" vertical="center"/>
      <protection/>
    </xf>
    <xf numFmtId="0" fontId="45" fillId="0" borderId="40" xfId="0" applyNumberFormat="1" applyFont="1" applyFill="1" applyBorder="1" applyAlignment="1" applyProtection="1">
      <alignment horizontal="left" vertical="center"/>
      <protection/>
    </xf>
    <xf numFmtId="0" fontId="45" fillId="0" borderId="22" xfId="0" applyNumberFormat="1" applyFont="1" applyFill="1" applyBorder="1" applyAlignment="1" applyProtection="1">
      <alignment horizontal="left" vertical="center"/>
      <protection/>
    </xf>
    <xf numFmtId="0" fontId="45" fillId="0" borderId="28" xfId="0" applyNumberFormat="1" applyFont="1" applyFill="1" applyBorder="1" applyAlignment="1" applyProtection="1">
      <alignment horizontal="left" vertical="center"/>
      <protection/>
    </xf>
    <xf numFmtId="0" fontId="45" fillId="0" borderId="23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34" xfId="0" applyNumberFormat="1" applyFont="1" applyFill="1" applyBorder="1" applyAlignment="1" applyProtection="1">
      <alignment horizontal="left" vertical="center"/>
      <protection/>
    </xf>
    <xf numFmtId="0" fontId="47" fillId="0" borderId="35" xfId="0" applyNumberFormat="1" applyFont="1" applyFill="1" applyBorder="1" applyAlignment="1" applyProtection="1">
      <alignment horizontal="left" vertical="center"/>
      <protection/>
    </xf>
    <xf numFmtId="0" fontId="47" fillId="0" borderId="19" xfId="0" applyNumberFormat="1" applyFont="1" applyFill="1" applyBorder="1" applyAlignment="1" applyProtection="1">
      <alignment horizontal="left" vertical="center"/>
      <protection/>
    </xf>
    <xf numFmtId="0" fontId="47" fillId="0" borderId="44" xfId="0" applyNumberFormat="1" applyFont="1" applyFill="1" applyBorder="1" applyAlignment="1" applyProtection="1">
      <alignment horizontal="left" vertical="center"/>
      <protection/>
    </xf>
    <xf numFmtId="0" fontId="47" fillId="0" borderId="45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44" xfId="0" applyNumberFormat="1" applyFont="1" applyFill="1" applyBorder="1" applyAlignment="1" applyProtection="1">
      <alignment horizontal="left" vertical="center"/>
      <protection/>
    </xf>
    <xf numFmtId="0" fontId="49" fillId="0" borderId="45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4" fontId="49" fillId="0" borderId="45" xfId="0" applyNumberFormat="1" applyFont="1" applyFill="1" applyBorder="1" applyAlignment="1" applyProtection="1">
      <alignment horizontal="right" vertical="center"/>
      <protection/>
    </xf>
    <xf numFmtId="0" fontId="49" fillId="0" borderId="45" xfId="0" applyNumberFormat="1" applyFont="1" applyFill="1" applyBorder="1" applyAlignment="1" applyProtection="1">
      <alignment horizontal="right" vertical="center"/>
      <protection/>
    </xf>
    <xf numFmtId="0" fontId="49" fillId="0" borderId="11" xfId="0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0"/>
  <sheetViews>
    <sheetView showOutlineSymbols="0" zoomScalePageLayoutView="0" workbookViewId="0" topLeftCell="A1">
      <pane ySplit="11" topLeftCell="A15" activePane="bottomLeft" state="frozen"/>
      <selection pane="topLeft" activeCell="A40" sqref="A40:L40"/>
      <selection pane="bottomLeft" activeCell="E19" sqref="E19"/>
    </sheetView>
  </sheetViews>
  <sheetFormatPr defaultColWidth="17" defaultRowHeight="15" customHeight="1"/>
  <cols>
    <col min="1" max="1" width="5.59765625" style="0" customWidth="1"/>
    <col min="2" max="2" width="25" style="0" customWidth="1"/>
    <col min="3" max="3" width="2" style="0" customWidth="1"/>
    <col min="4" max="4" width="50" style="0" customWidth="1"/>
    <col min="5" max="5" width="10.19921875" style="0" customWidth="1"/>
    <col min="6" max="6" width="18" style="0" customWidth="1"/>
    <col min="7" max="7" width="16.796875" style="0" customWidth="1"/>
    <col min="8" max="10" width="22" style="0" customWidth="1"/>
    <col min="11" max="11" width="18.796875" style="0" customWidth="1"/>
    <col min="12" max="24" width="17" style="0" customWidth="1"/>
    <col min="25" max="75" width="17" style="0" hidden="1" customWidth="1"/>
  </cols>
  <sheetData>
    <row r="1" spans="1:47" ht="54.75" customHeight="1">
      <c r="A1" s="64" t="s">
        <v>196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AS1" s="23">
        <f>SUM(AJ1:AJ2)</f>
        <v>0</v>
      </c>
      <c r="AT1" s="23">
        <f>SUM(AK1:AK2)</f>
        <v>0</v>
      </c>
      <c r="AU1" s="23">
        <f>SUM(AL1:AL2)</f>
        <v>0</v>
      </c>
    </row>
    <row r="2" spans="1:12" ht="15" customHeight="1">
      <c r="A2" s="66" t="s">
        <v>11</v>
      </c>
      <c r="B2" s="67"/>
      <c r="C2" s="81" t="s">
        <v>57</v>
      </c>
      <c r="D2" s="82"/>
      <c r="E2" s="82"/>
      <c r="F2" s="82"/>
      <c r="G2" s="67" t="s">
        <v>0</v>
      </c>
      <c r="H2" s="67"/>
      <c r="I2" s="67" t="s">
        <v>162</v>
      </c>
      <c r="J2" s="71" t="s">
        <v>149</v>
      </c>
      <c r="K2" s="75" t="s">
        <v>195</v>
      </c>
      <c r="L2" s="76"/>
    </row>
    <row r="3" spans="1:12" ht="15" customHeight="1">
      <c r="A3" s="68"/>
      <c r="B3" s="69"/>
      <c r="C3" s="83"/>
      <c r="D3" s="83"/>
      <c r="E3" s="83"/>
      <c r="F3" s="83"/>
      <c r="G3" s="69"/>
      <c r="H3" s="69"/>
      <c r="I3" s="69"/>
      <c r="J3" s="69"/>
      <c r="K3" s="69"/>
      <c r="L3" s="77"/>
    </row>
    <row r="4" spans="1:12" ht="15" customHeight="1">
      <c r="A4" s="70" t="s">
        <v>97</v>
      </c>
      <c r="B4" s="69"/>
      <c r="C4" s="72" t="s">
        <v>197</v>
      </c>
      <c r="D4" s="73"/>
      <c r="E4" s="73"/>
      <c r="F4" s="73"/>
      <c r="G4" s="69" t="s">
        <v>157</v>
      </c>
      <c r="H4" s="69"/>
      <c r="I4" s="69" t="s">
        <v>114</v>
      </c>
      <c r="J4" s="74" t="s">
        <v>118</v>
      </c>
      <c r="K4" s="74" t="s">
        <v>112</v>
      </c>
      <c r="L4" s="77"/>
    </row>
    <row r="5" spans="1:12" ht="15" customHeight="1">
      <c r="A5" s="68"/>
      <c r="B5" s="69"/>
      <c r="C5" s="73"/>
      <c r="D5" s="73"/>
      <c r="E5" s="73"/>
      <c r="F5" s="73"/>
      <c r="G5" s="69"/>
      <c r="H5" s="69"/>
      <c r="I5" s="69"/>
      <c r="J5" s="69"/>
      <c r="K5" s="69"/>
      <c r="L5" s="77"/>
    </row>
    <row r="6" spans="1:12" ht="15" customHeight="1">
      <c r="A6" s="70" t="s">
        <v>15</v>
      </c>
      <c r="B6" s="69"/>
      <c r="C6" s="74" t="s">
        <v>161</v>
      </c>
      <c r="D6" s="69"/>
      <c r="E6" s="69"/>
      <c r="F6" s="69"/>
      <c r="G6" s="69" t="s">
        <v>56</v>
      </c>
      <c r="H6" s="69"/>
      <c r="I6" s="69" t="s">
        <v>28</v>
      </c>
      <c r="J6" s="74" t="s">
        <v>155</v>
      </c>
      <c r="K6" s="74" t="s">
        <v>188</v>
      </c>
      <c r="L6" s="77"/>
    </row>
    <row r="7" spans="1:12" ht="1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77"/>
    </row>
    <row r="8" spans="1:12" ht="15" customHeight="1">
      <c r="A8" s="70" t="s">
        <v>90</v>
      </c>
      <c r="B8" s="69"/>
      <c r="C8" s="74" t="s">
        <v>161</v>
      </c>
      <c r="D8" s="69"/>
      <c r="E8" s="69"/>
      <c r="F8" s="69"/>
      <c r="G8" s="69" t="s">
        <v>98</v>
      </c>
      <c r="H8" s="69"/>
      <c r="I8" s="69" t="s">
        <v>83</v>
      </c>
      <c r="J8" s="74" t="s">
        <v>113</v>
      </c>
      <c r="K8" s="74" t="s">
        <v>121</v>
      </c>
      <c r="L8" s="77"/>
    </row>
    <row r="9" spans="1:12" ht="1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78"/>
    </row>
    <row r="10" spans="1:75" ht="15" customHeight="1">
      <c r="A10" s="26" t="s">
        <v>13</v>
      </c>
      <c r="B10" s="10" t="s">
        <v>58</v>
      </c>
      <c r="C10" s="79" t="s">
        <v>189</v>
      </c>
      <c r="D10" s="80"/>
      <c r="E10" s="10" t="s">
        <v>64</v>
      </c>
      <c r="F10" s="54" t="s">
        <v>103</v>
      </c>
      <c r="G10" s="34" t="s">
        <v>55</v>
      </c>
      <c r="H10" s="86" t="s">
        <v>108</v>
      </c>
      <c r="I10" s="87"/>
      <c r="J10" s="88"/>
      <c r="K10" s="50" t="s">
        <v>49</v>
      </c>
      <c r="L10" s="11"/>
      <c r="BK10" s="39" t="s">
        <v>75</v>
      </c>
      <c r="BL10" s="60" t="s">
        <v>93</v>
      </c>
      <c r="BW10" s="60" t="s">
        <v>191</v>
      </c>
    </row>
    <row r="11" spans="1:62" ht="15" customHeight="1">
      <c r="A11" s="38" t="s">
        <v>161</v>
      </c>
      <c r="B11" s="43" t="s">
        <v>161</v>
      </c>
      <c r="C11" s="84" t="s">
        <v>174</v>
      </c>
      <c r="D11" s="85"/>
      <c r="E11" s="43" t="s">
        <v>161</v>
      </c>
      <c r="F11" s="43" t="s">
        <v>161</v>
      </c>
      <c r="G11" s="31" t="s">
        <v>164</v>
      </c>
      <c r="H11" s="7" t="s">
        <v>8</v>
      </c>
      <c r="I11" s="53" t="s">
        <v>36</v>
      </c>
      <c r="J11" s="48" t="s">
        <v>20</v>
      </c>
      <c r="K11" s="48" t="s">
        <v>47</v>
      </c>
      <c r="L11" s="11"/>
      <c r="Z11" s="39" t="s">
        <v>138</v>
      </c>
      <c r="AA11" s="39" t="s">
        <v>105</v>
      </c>
      <c r="AB11" s="39" t="s">
        <v>179</v>
      </c>
      <c r="AC11" s="39" t="s">
        <v>51</v>
      </c>
      <c r="AD11" s="39" t="s">
        <v>150</v>
      </c>
      <c r="AE11" s="39" t="s">
        <v>70</v>
      </c>
      <c r="AF11" s="39" t="s">
        <v>159</v>
      </c>
      <c r="AG11" s="39" t="s">
        <v>80</v>
      </c>
      <c r="AH11" s="39" t="s">
        <v>48</v>
      </c>
      <c r="BH11" s="39" t="s">
        <v>139</v>
      </c>
      <c r="BI11" s="39" t="s">
        <v>177</v>
      </c>
      <c r="BJ11" s="39" t="s">
        <v>190</v>
      </c>
    </row>
    <row r="12" spans="1:47" ht="15" customHeight="1">
      <c r="A12" s="46" t="s">
        <v>119</v>
      </c>
      <c r="B12" s="45" t="s">
        <v>126</v>
      </c>
      <c r="C12" s="89" t="s">
        <v>89</v>
      </c>
      <c r="D12" s="90"/>
      <c r="E12" s="30" t="s">
        <v>161</v>
      </c>
      <c r="F12" s="30" t="s">
        <v>161</v>
      </c>
      <c r="G12" s="30" t="s">
        <v>161</v>
      </c>
      <c r="H12" s="59">
        <f>SUM(H13:H37)</f>
        <v>0</v>
      </c>
      <c r="I12" s="59">
        <f>SUM(I13:I37)</f>
        <v>0</v>
      </c>
      <c r="J12" s="59">
        <f>SUM(J13:J37)</f>
        <v>0</v>
      </c>
      <c r="K12" s="40" t="s">
        <v>119</v>
      </c>
      <c r="L12" s="11"/>
      <c r="AI12" s="39" t="s">
        <v>119</v>
      </c>
      <c r="AS12" s="23">
        <f>SUM(AJ13:AJ37)</f>
        <v>0</v>
      </c>
      <c r="AT12" s="23">
        <f>SUM(AK13:AK37)</f>
        <v>0</v>
      </c>
      <c r="AU12" s="23">
        <f>SUM(AL13:AL37)</f>
        <v>0</v>
      </c>
    </row>
    <row r="13" spans="1:75" ht="27" customHeight="1">
      <c r="A13" s="18" t="s">
        <v>172</v>
      </c>
      <c r="B13" s="2" t="s">
        <v>24</v>
      </c>
      <c r="C13" s="74" t="s">
        <v>168</v>
      </c>
      <c r="D13" s="69"/>
      <c r="E13" s="2" t="s">
        <v>147</v>
      </c>
      <c r="F13" s="28">
        <v>6</v>
      </c>
      <c r="G13" s="61">
        <v>0</v>
      </c>
      <c r="H13" s="28">
        <f aca="true" t="shared" si="0" ref="H13:H37">F13*AO13</f>
        <v>0</v>
      </c>
      <c r="I13" s="28">
        <f aca="true" t="shared" si="1" ref="I13:I37">F13*AP13</f>
        <v>0</v>
      </c>
      <c r="J13" s="28">
        <f aca="true" t="shared" si="2" ref="J13:J37">F13*G13</f>
        <v>0</v>
      </c>
      <c r="K13" s="21" t="s">
        <v>85</v>
      </c>
      <c r="L13" s="11"/>
      <c r="Z13" s="28">
        <f aca="true" t="shared" si="3" ref="Z13:Z37">IF(AQ13="5",BJ13,0)</f>
        <v>0</v>
      </c>
      <c r="AB13" s="28">
        <f aca="true" t="shared" si="4" ref="AB13:AB37">IF(AQ13="1",BH13,0)</f>
        <v>0</v>
      </c>
      <c r="AC13" s="28">
        <f aca="true" t="shared" si="5" ref="AC13:AC37">IF(AQ13="1",BI13,0)</f>
        <v>0</v>
      </c>
      <c r="AD13" s="28">
        <f aca="true" t="shared" si="6" ref="AD13:AD37">IF(AQ13="7",BH13,0)</f>
        <v>0</v>
      </c>
      <c r="AE13" s="28">
        <f aca="true" t="shared" si="7" ref="AE13:AE37">IF(AQ13="7",BI13,0)</f>
        <v>0</v>
      </c>
      <c r="AF13" s="28">
        <f aca="true" t="shared" si="8" ref="AF13:AF37">IF(AQ13="2",BH13,0)</f>
        <v>0</v>
      </c>
      <c r="AG13" s="28">
        <f aca="true" t="shared" si="9" ref="AG13:AG37">IF(AQ13="2",BI13,0)</f>
        <v>0</v>
      </c>
      <c r="AH13" s="28">
        <f aca="true" t="shared" si="10" ref="AH13:AH37">IF(AQ13="0",BJ13,0)</f>
        <v>0</v>
      </c>
      <c r="AI13" s="39" t="s">
        <v>119</v>
      </c>
      <c r="AJ13" s="28">
        <f aca="true" t="shared" si="11" ref="AJ13:AJ37">IF(AN13=0,J13,0)</f>
        <v>0</v>
      </c>
      <c r="AK13" s="28">
        <f aca="true" t="shared" si="12" ref="AK13:AK37">IF(AN13=15,J13,0)</f>
        <v>0</v>
      </c>
      <c r="AL13" s="28">
        <f aca="true" t="shared" si="13" ref="AL13:AL37">IF(AN13=21,J13,0)</f>
        <v>0</v>
      </c>
      <c r="AN13" s="28">
        <v>21</v>
      </c>
      <c r="AO13" s="28">
        <f>G13*0.87953125</f>
        <v>0</v>
      </c>
      <c r="AP13" s="28">
        <f>G13*(1-0.87953125)</f>
        <v>0</v>
      </c>
      <c r="AQ13" s="21" t="s">
        <v>173</v>
      </c>
      <c r="AV13" s="28">
        <f aca="true" t="shared" si="14" ref="AV13:AV37">AW13+AX13</f>
        <v>0</v>
      </c>
      <c r="AW13" s="28">
        <f aca="true" t="shared" si="15" ref="AW13:AW37">F13*AO13</f>
        <v>0</v>
      </c>
      <c r="AX13" s="28">
        <f aca="true" t="shared" si="16" ref="AX13:AX37">F13*AP13</f>
        <v>0</v>
      </c>
      <c r="AY13" s="21" t="s">
        <v>87</v>
      </c>
      <c r="AZ13" s="21" t="s">
        <v>10</v>
      </c>
      <c r="BA13" s="39" t="s">
        <v>135</v>
      </c>
      <c r="BC13" s="28">
        <f aca="true" t="shared" si="17" ref="BC13:BC37">AW13+AX13</f>
        <v>0</v>
      </c>
      <c r="BD13" s="28">
        <f aca="true" t="shared" si="18" ref="BD13:BD37">G13/(100-BE13)*100</f>
        <v>0</v>
      </c>
      <c r="BE13" s="28">
        <v>0</v>
      </c>
      <c r="BF13" s="28">
        <f>13</f>
        <v>13</v>
      </c>
      <c r="BH13" s="28">
        <f aca="true" t="shared" si="19" ref="BH13:BH37">F13*AO13</f>
        <v>0</v>
      </c>
      <c r="BI13" s="28">
        <f aca="true" t="shared" si="20" ref="BI13:BI37">F13*AP13</f>
        <v>0</v>
      </c>
      <c r="BJ13" s="28">
        <f aca="true" t="shared" si="21" ref="BJ13:BJ37">F13*G13</f>
        <v>0</v>
      </c>
      <c r="BK13" s="28"/>
      <c r="BL13" s="28">
        <v>723</v>
      </c>
      <c r="BW13" s="28">
        <v>21</v>
      </c>
    </row>
    <row r="14" spans="1:75" ht="27" customHeight="1">
      <c r="A14" s="41" t="s">
        <v>117</v>
      </c>
      <c r="B14" s="5" t="s">
        <v>137</v>
      </c>
      <c r="C14" s="91" t="s">
        <v>40</v>
      </c>
      <c r="D14" s="92"/>
      <c r="E14" s="5" t="s">
        <v>147</v>
      </c>
      <c r="F14" s="32">
        <v>2</v>
      </c>
      <c r="G14" s="61">
        <v>0</v>
      </c>
      <c r="H14" s="32">
        <f t="shared" si="0"/>
        <v>0</v>
      </c>
      <c r="I14" s="32">
        <f t="shared" si="1"/>
        <v>0</v>
      </c>
      <c r="J14" s="32">
        <f t="shared" si="2"/>
        <v>0</v>
      </c>
      <c r="K14" s="52" t="s">
        <v>85</v>
      </c>
      <c r="L14" s="11"/>
      <c r="Z14" s="28">
        <f t="shared" si="3"/>
        <v>0</v>
      </c>
      <c r="AB14" s="28">
        <f t="shared" si="4"/>
        <v>0</v>
      </c>
      <c r="AC14" s="28">
        <f t="shared" si="5"/>
        <v>0</v>
      </c>
      <c r="AD14" s="28">
        <f t="shared" si="6"/>
        <v>0</v>
      </c>
      <c r="AE14" s="28">
        <f t="shared" si="7"/>
        <v>0</v>
      </c>
      <c r="AF14" s="28">
        <f t="shared" si="8"/>
        <v>0</v>
      </c>
      <c r="AG14" s="28">
        <f t="shared" si="9"/>
        <v>0</v>
      </c>
      <c r="AH14" s="28">
        <f t="shared" si="10"/>
        <v>0</v>
      </c>
      <c r="AI14" s="39" t="s">
        <v>119</v>
      </c>
      <c r="AJ14" s="28">
        <f t="shared" si="11"/>
        <v>0</v>
      </c>
      <c r="AK14" s="28">
        <f t="shared" si="12"/>
        <v>0</v>
      </c>
      <c r="AL14" s="28">
        <f t="shared" si="13"/>
        <v>0</v>
      </c>
      <c r="AN14" s="28">
        <v>21</v>
      </c>
      <c r="AO14" s="28">
        <f>G14*0.896180371352785</f>
        <v>0</v>
      </c>
      <c r="AP14" s="28">
        <f>G14*(1-0.896180371352785)</f>
        <v>0</v>
      </c>
      <c r="AQ14" s="21" t="s">
        <v>173</v>
      </c>
      <c r="AV14" s="28">
        <f t="shared" si="14"/>
        <v>0</v>
      </c>
      <c r="AW14" s="28">
        <f t="shared" si="15"/>
        <v>0</v>
      </c>
      <c r="AX14" s="28">
        <f t="shared" si="16"/>
        <v>0</v>
      </c>
      <c r="AY14" s="21" t="s">
        <v>87</v>
      </c>
      <c r="AZ14" s="21" t="s">
        <v>10</v>
      </c>
      <c r="BA14" s="39" t="s">
        <v>135</v>
      </c>
      <c r="BC14" s="28">
        <f t="shared" si="17"/>
        <v>0</v>
      </c>
      <c r="BD14" s="28">
        <f t="shared" si="18"/>
        <v>0</v>
      </c>
      <c r="BE14" s="28">
        <v>0</v>
      </c>
      <c r="BF14" s="28">
        <f>14</f>
        <v>14</v>
      </c>
      <c r="BH14" s="28">
        <f t="shared" si="19"/>
        <v>0</v>
      </c>
      <c r="BI14" s="28">
        <f t="shared" si="20"/>
        <v>0</v>
      </c>
      <c r="BJ14" s="28">
        <f t="shared" si="21"/>
        <v>0</v>
      </c>
      <c r="BK14" s="28"/>
      <c r="BL14" s="28">
        <v>723</v>
      </c>
      <c r="BW14" s="28">
        <v>21</v>
      </c>
    </row>
    <row r="15" spans="1:75" ht="27" customHeight="1">
      <c r="A15" s="51" t="s">
        <v>152</v>
      </c>
      <c r="B15" s="37" t="s">
        <v>116</v>
      </c>
      <c r="C15" s="91" t="s">
        <v>91</v>
      </c>
      <c r="D15" s="92"/>
      <c r="E15" s="37" t="s">
        <v>147</v>
      </c>
      <c r="F15" s="24">
        <v>3</v>
      </c>
      <c r="G15" s="61">
        <v>0</v>
      </c>
      <c r="H15" s="24">
        <f t="shared" si="0"/>
        <v>0</v>
      </c>
      <c r="I15" s="24">
        <f t="shared" si="1"/>
        <v>0</v>
      </c>
      <c r="J15" s="24">
        <f t="shared" si="2"/>
        <v>0</v>
      </c>
      <c r="K15" s="6" t="s">
        <v>85</v>
      </c>
      <c r="L15" s="11"/>
      <c r="Z15" s="28">
        <f t="shared" si="3"/>
        <v>0</v>
      </c>
      <c r="AB15" s="28">
        <f t="shared" si="4"/>
        <v>0</v>
      </c>
      <c r="AC15" s="28">
        <f t="shared" si="5"/>
        <v>0</v>
      </c>
      <c r="AD15" s="28">
        <f t="shared" si="6"/>
        <v>0</v>
      </c>
      <c r="AE15" s="28">
        <f t="shared" si="7"/>
        <v>0</v>
      </c>
      <c r="AF15" s="28">
        <f t="shared" si="8"/>
        <v>0</v>
      </c>
      <c r="AG15" s="28">
        <f t="shared" si="9"/>
        <v>0</v>
      </c>
      <c r="AH15" s="28">
        <f t="shared" si="10"/>
        <v>0</v>
      </c>
      <c r="AI15" s="39" t="s">
        <v>119</v>
      </c>
      <c r="AJ15" s="28">
        <f t="shared" si="11"/>
        <v>0</v>
      </c>
      <c r="AK15" s="28">
        <f t="shared" si="12"/>
        <v>0</v>
      </c>
      <c r="AL15" s="28">
        <f t="shared" si="13"/>
        <v>0</v>
      </c>
      <c r="AN15" s="28">
        <v>21</v>
      </c>
      <c r="AO15" s="28">
        <f>G15*0.7879173290938</f>
        <v>0</v>
      </c>
      <c r="AP15" s="28">
        <f>G15*(1-0.7879173290938)</f>
        <v>0</v>
      </c>
      <c r="AQ15" s="21" t="s">
        <v>173</v>
      </c>
      <c r="AV15" s="28">
        <f t="shared" si="14"/>
        <v>0</v>
      </c>
      <c r="AW15" s="28">
        <f t="shared" si="15"/>
        <v>0</v>
      </c>
      <c r="AX15" s="28">
        <f t="shared" si="16"/>
        <v>0</v>
      </c>
      <c r="AY15" s="21" t="s">
        <v>87</v>
      </c>
      <c r="AZ15" s="21" t="s">
        <v>10</v>
      </c>
      <c r="BA15" s="39" t="s">
        <v>135</v>
      </c>
      <c r="BC15" s="28">
        <f t="shared" si="17"/>
        <v>0</v>
      </c>
      <c r="BD15" s="28">
        <f t="shared" si="18"/>
        <v>0</v>
      </c>
      <c r="BE15" s="28">
        <v>0</v>
      </c>
      <c r="BF15" s="28">
        <f>15</f>
        <v>15</v>
      </c>
      <c r="BH15" s="28">
        <f t="shared" si="19"/>
        <v>0</v>
      </c>
      <c r="BI15" s="28">
        <f t="shared" si="20"/>
        <v>0</v>
      </c>
      <c r="BJ15" s="28">
        <f t="shared" si="21"/>
        <v>0</v>
      </c>
      <c r="BK15" s="28"/>
      <c r="BL15" s="28">
        <v>723</v>
      </c>
      <c r="BW15" s="28">
        <v>21</v>
      </c>
    </row>
    <row r="16" spans="1:75" ht="13.5" customHeight="1">
      <c r="A16" s="51" t="s">
        <v>26</v>
      </c>
      <c r="B16" s="37" t="s">
        <v>111</v>
      </c>
      <c r="C16" s="91" t="s">
        <v>62</v>
      </c>
      <c r="D16" s="92"/>
      <c r="E16" s="37" t="s">
        <v>45</v>
      </c>
      <c r="F16" s="24">
        <v>8</v>
      </c>
      <c r="G16" s="61">
        <v>0</v>
      </c>
      <c r="H16" s="24">
        <f t="shared" si="0"/>
        <v>0</v>
      </c>
      <c r="I16" s="24">
        <f t="shared" si="1"/>
        <v>0</v>
      </c>
      <c r="J16" s="24">
        <f t="shared" si="2"/>
        <v>0</v>
      </c>
      <c r="K16" s="6" t="s">
        <v>85</v>
      </c>
      <c r="L16" s="11"/>
      <c r="Z16" s="28">
        <f t="shared" si="3"/>
        <v>0</v>
      </c>
      <c r="AB16" s="28">
        <f t="shared" si="4"/>
        <v>0</v>
      </c>
      <c r="AC16" s="28">
        <f t="shared" si="5"/>
        <v>0</v>
      </c>
      <c r="AD16" s="28">
        <f t="shared" si="6"/>
        <v>0</v>
      </c>
      <c r="AE16" s="28">
        <f t="shared" si="7"/>
        <v>0</v>
      </c>
      <c r="AF16" s="28">
        <f t="shared" si="8"/>
        <v>0</v>
      </c>
      <c r="AG16" s="28">
        <f t="shared" si="9"/>
        <v>0</v>
      </c>
      <c r="AH16" s="28">
        <f t="shared" si="10"/>
        <v>0</v>
      </c>
      <c r="AI16" s="39" t="s">
        <v>119</v>
      </c>
      <c r="AJ16" s="28">
        <f t="shared" si="11"/>
        <v>0</v>
      </c>
      <c r="AK16" s="28">
        <f t="shared" si="12"/>
        <v>0</v>
      </c>
      <c r="AL16" s="28">
        <f t="shared" si="13"/>
        <v>0</v>
      </c>
      <c r="AN16" s="28">
        <v>21</v>
      </c>
      <c r="AO16" s="28">
        <f>G16*0.289347179920003</f>
        <v>0</v>
      </c>
      <c r="AP16" s="28">
        <f>G16*(1-0.289347179920003)</f>
        <v>0</v>
      </c>
      <c r="AQ16" s="21" t="s">
        <v>173</v>
      </c>
      <c r="AV16" s="28">
        <f t="shared" si="14"/>
        <v>0</v>
      </c>
      <c r="AW16" s="28">
        <f t="shared" si="15"/>
        <v>0</v>
      </c>
      <c r="AX16" s="28">
        <f t="shared" si="16"/>
        <v>0</v>
      </c>
      <c r="AY16" s="21" t="s">
        <v>87</v>
      </c>
      <c r="AZ16" s="21" t="s">
        <v>10</v>
      </c>
      <c r="BA16" s="39" t="s">
        <v>135</v>
      </c>
      <c r="BC16" s="28">
        <f t="shared" si="17"/>
        <v>0</v>
      </c>
      <c r="BD16" s="28">
        <f t="shared" si="18"/>
        <v>0</v>
      </c>
      <c r="BE16" s="28">
        <v>0</v>
      </c>
      <c r="BF16" s="28">
        <f>16</f>
        <v>16</v>
      </c>
      <c r="BH16" s="28">
        <f t="shared" si="19"/>
        <v>0</v>
      </c>
      <c r="BI16" s="28">
        <f t="shared" si="20"/>
        <v>0</v>
      </c>
      <c r="BJ16" s="28">
        <f t="shared" si="21"/>
        <v>0</v>
      </c>
      <c r="BK16" s="28"/>
      <c r="BL16" s="28">
        <v>723</v>
      </c>
      <c r="BW16" s="28">
        <v>21</v>
      </c>
    </row>
    <row r="17" spans="1:75" ht="13.5" customHeight="1">
      <c r="A17" s="51" t="s">
        <v>95</v>
      </c>
      <c r="B17" s="37" t="s">
        <v>67</v>
      </c>
      <c r="C17" s="91" t="s">
        <v>61</v>
      </c>
      <c r="D17" s="92"/>
      <c r="E17" s="37" t="s">
        <v>45</v>
      </c>
      <c r="F17" s="24">
        <v>4</v>
      </c>
      <c r="G17" s="61">
        <v>0</v>
      </c>
      <c r="H17" s="24">
        <f t="shared" si="0"/>
        <v>0</v>
      </c>
      <c r="I17" s="24">
        <f t="shared" si="1"/>
        <v>0</v>
      </c>
      <c r="J17" s="24">
        <f t="shared" si="2"/>
        <v>0</v>
      </c>
      <c r="K17" s="6" t="s">
        <v>85</v>
      </c>
      <c r="L17" s="11"/>
      <c r="Z17" s="28">
        <f t="shared" si="3"/>
        <v>0</v>
      </c>
      <c r="AB17" s="28">
        <f t="shared" si="4"/>
        <v>0</v>
      </c>
      <c r="AC17" s="28">
        <f t="shared" si="5"/>
        <v>0</v>
      </c>
      <c r="AD17" s="28">
        <f t="shared" si="6"/>
        <v>0</v>
      </c>
      <c r="AE17" s="28">
        <f t="shared" si="7"/>
        <v>0</v>
      </c>
      <c r="AF17" s="28">
        <f t="shared" si="8"/>
        <v>0</v>
      </c>
      <c r="AG17" s="28">
        <f t="shared" si="9"/>
        <v>0</v>
      </c>
      <c r="AH17" s="28">
        <f t="shared" si="10"/>
        <v>0</v>
      </c>
      <c r="AI17" s="39" t="s">
        <v>119</v>
      </c>
      <c r="AJ17" s="28">
        <f t="shared" si="11"/>
        <v>0</v>
      </c>
      <c r="AK17" s="28">
        <f t="shared" si="12"/>
        <v>0</v>
      </c>
      <c r="AL17" s="28">
        <f t="shared" si="13"/>
        <v>0</v>
      </c>
      <c r="AN17" s="28">
        <v>21</v>
      </c>
      <c r="AO17" s="28">
        <f>G17*0.377557755775578</f>
        <v>0</v>
      </c>
      <c r="AP17" s="28">
        <f>G17*(1-0.377557755775578)</f>
        <v>0</v>
      </c>
      <c r="AQ17" s="21" t="s">
        <v>173</v>
      </c>
      <c r="AV17" s="28">
        <f t="shared" si="14"/>
        <v>0</v>
      </c>
      <c r="AW17" s="28">
        <f t="shared" si="15"/>
        <v>0</v>
      </c>
      <c r="AX17" s="28">
        <f t="shared" si="16"/>
        <v>0</v>
      </c>
      <c r="AY17" s="21" t="s">
        <v>87</v>
      </c>
      <c r="AZ17" s="21" t="s">
        <v>10</v>
      </c>
      <c r="BA17" s="39" t="s">
        <v>135</v>
      </c>
      <c r="BC17" s="28">
        <f t="shared" si="17"/>
        <v>0</v>
      </c>
      <c r="BD17" s="28">
        <f t="shared" si="18"/>
        <v>0</v>
      </c>
      <c r="BE17" s="28">
        <v>0</v>
      </c>
      <c r="BF17" s="28">
        <f>17</f>
        <v>17</v>
      </c>
      <c r="BH17" s="28">
        <f t="shared" si="19"/>
        <v>0</v>
      </c>
      <c r="BI17" s="28">
        <f t="shared" si="20"/>
        <v>0</v>
      </c>
      <c r="BJ17" s="28">
        <f t="shared" si="21"/>
        <v>0</v>
      </c>
      <c r="BK17" s="28"/>
      <c r="BL17" s="28">
        <v>723</v>
      </c>
      <c r="BW17" s="28">
        <v>21</v>
      </c>
    </row>
    <row r="18" spans="1:75" ht="13.5" customHeight="1">
      <c r="A18" s="51" t="s">
        <v>31</v>
      </c>
      <c r="B18" s="37" t="s">
        <v>21</v>
      </c>
      <c r="C18" s="91" t="s">
        <v>99</v>
      </c>
      <c r="D18" s="92"/>
      <c r="E18" s="37" t="s">
        <v>45</v>
      </c>
      <c r="F18" s="24">
        <v>2</v>
      </c>
      <c r="G18" s="61">
        <v>0</v>
      </c>
      <c r="H18" s="24">
        <f t="shared" si="0"/>
        <v>0</v>
      </c>
      <c r="I18" s="24">
        <f t="shared" si="1"/>
        <v>0</v>
      </c>
      <c r="J18" s="24">
        <f t="shared" si="2"/>
        <v>0</v>
      </c>
      <c r="K18" s="6" t="s">
        <v>85</v>
      </c>
      <c r="L18" s="11"/>
      <c r="Z18" s="28">
        <f t="shared" si="3"/>
        <v>0</v>
      </c>
      <c r="AB18" s="28">
        <f t="shared" si="4"/>
        <v>0</v>
      </c>
      <c r="AC18" s="28">
        <f t="shared" si="5"/>
        <v>0</v>
      </c>
      <c r="AD18" s="28">
        <f t="shared" si="6"/>
        <v>0</v>
      </c>
      <c r="AE18" s="28">
        <f t="shared" si="7"/>
        <v>0</v>
      </c>
      <c r="AF18" s="28">
        <f t="shared" si="8"/>
        <v>0</v>
      </c>
      <c r="AG18" s="28">
        <f t="shared" si="9"/>
        <v>0</v>
      </c>
      <c r="AH18" s="28">
        <f t="shared" si="10"/>
        <v>0</v>
      </c>
      <c r="AI18" s="39" t="s">
        <v>119</v>
      </c>
      <c r="AJ18" s="28">
        <f t="shared" si="11"/>
        <v>0</v>
      </c>
      <c r="AK18" s="28">
        <f t="shared" si="12"/>
        <v>0</v>
      </c>
      <c r="AL18" s="28">
        <f t="shared" si="13"/>
        <v>0</v>
      </c>
      <c r="AN18" s="28">
        <v>21</v>
      </c>
      <c r="AO18" s="28">
        <f>G18*0.290718562874251</f>
        <v>0</v>
      </c>
      <c r="AP18" s="28">
        <f>G18*(1-0.290718562874251)</f>
        <v>0</v>
      </c>
      <c r="AQ18" s="21" t="s">
        <v>173</v>
      </c>
      <c r="AV18" s="28">
        <f t="shared" si="14"/>
        <v>0</v>
      </c>
      <c r="AW18" s="28">
        <f t="shared" si="15"/>
        <v>0</v>
      </c>
      <c r="AX18" s="28">
        <f t="shared" si="16"/>
        <v>0</v>
      </c>
      <c r="AY18" s="21" t="s">
        <v>87</v>
      </c>
      <c r="AZ18" s="21" t="s">
        <v>10</v>
      </c>
      <c r="BA18" s="39" t="s">
        <v>135</v>
      </c>
      <c r="BC18" s="28">
        <f t="shared" si="17"/>
        <v>0</v>
      </c>
      <c r="BD18" s="28">
        <f t="shared" si="18"/>
        <v>0</v>
      </c>
      <c r="BE18" s="28">
        <v>0</v>
      </c>
      <c r="BF18" s="28">
        <f>18</f>
        <v>18</v>
      </c>
      <c r="BH18" s="28">
        <f t="shared" si="19"/>
        <v>0</v>
      </c>
      <c r="BI18" s="28">
        <f t="shared" si="20"/>
        <v>0</v>
      </c>
      <c r="BJ18" s="28">
        <f t="shared" si="21"/>
        <v>0</v>
      </c>
      <c r="BK18" s="28"/>
      <c r="BL18" s="28">
        <v>723</v>
      </c>
      <c r="BW18" s="28">
        <v>21</v>
      </c>
    </row>
    <row r="19" spans="1:75" ht="27" customHeight="1">
      <c r="A19" s="51" t="s">
        <v>173</v>
      </c>
      <c r="B19" s="37" t="s">
        <v>82</v>
      </c>
      <c r="C19" s="91" t="s">
        <v>134</v>
      </c>
      <c r="D19" s="92"/>
      <c r="E19" s="37" t="s">
        <v>147</v>
      </c>
      <c r="F19" s="24">
        <v>30.5</v>
      </c>
      <c r="G19" s="61">
        <v>0</v>
      </c>
      <c r="H19" s="24">
        <f t="shared" si="0"/>
        <v>0</v>
      </c>
      <c r="I19" s="24">
        <f t="shared" si="1"/>
        <v>0</v>
      </c>
      <c r="J19" s="24">
        <f t="shared" si="2"/>
        <v>0</v>
      </c>
      <c r="K19" s="6" t="s">
        <v>85</v>
      </c>
      <c r="L19" s="11"/>
      <c r="Z19" s="28">
        <f t="shared" si="3"/>
        <v>0</v>
      </c>
      <c r="AB19" s="28">
        <f t="shared" si="4"/>
        <v>0</v>
      </c>
      <c r="AC19" s="28">
        <f t="shared" si="5"/>
        <v>0</v>
      </c>
      <c r="AD19" s="28">
        <f t="shared" si="6"/>
        <v>0</v>
      </c>
      <c r="AE19" s="28">
        <f t="shared" si="7"/>
        <v>0</v>
      </c>
      <c r="AF19" s="28">
        <f t="shared" si="8"/>
        <v>0</v>
      </c>
      <c r="AG19" s="28">
        <f t="shared" si="9"/>
        <v>0</v>
      </c>
      <c r="AH19" s="28">
        <f t="shared" si="10"/>
        <v>0</v>
      </c>
      <c r="AI19" s="39" t="s">
        <v>119</v>
      </c>
      <c r="AJ19" s="28">
        <f t="shared" si="11"/>
        <v>0</v>
      </c>
      <c r="AK19" s="28">
        <f t="shared" si="12"/>
        <v>0</v>
      </c>
      <c r="AL19" s="28">
        <f t="shared" si="13"/>
        <v>0</v>
      </c>
      <c r="AN19" s="28">
        <v>21</v>
      </c>
      <c r="AO19" s="28">
        <f>G19*0</f>
        <v>0</v>
      </c>
      <c r="AP19" s="28">
        <f>G19*(1-0)</f>
        <v>0</v>
      </c>
      <c r="AQ19" s="21" t="s">
        <v>173</v>
      </c>
      <c r="AV19" s="28">
        <f t="shared" si="14"/>
        <v>0</v>
      </c>
      <c r="AW19" s="28">
        <f t="shared" si="15"/>
        <v>0</v>
      </c>
      <c r="AX19" s="28">
        <f t="shared" si="16"/>
        <v>0</v>
      </c>
      <c r="AY19" s="21" t="s">
        <v>87</v>
      </c>
      <c r="AZ19" s="21" t="s">
        <v>10</v>
      </c>
      <c r="BA19" s="39" t="s">
        <v>135</v>
      </c>
      <c r="BC19" s="28">
        <f t="shared" si="17"/>
        <v>0</v>
      </c>
      <c r="BD19" s="28">
        <f t="shared" si="18"/>
        <v>0</v>
      </c>
      <c r="BE19" s="28">
        <v>0</v>
      </c>
      <c r="BF19" s="28">
        <f>19</f>
        <v>19</v>
      </c>
      <c r="BH19" s="28">
        <f t="shared" si="19"/>
        <v>0</v>
      </c>
      <c r="BI19" s="28">
        <f t="shared" si="20"/>
        <v>0</v>
      </c>
      <c r="BJ19" s="28">
        <f t="shared" si="21"/>
        <v>0</v>
      </c>
      <c r="BK19" s="28"/>
      <c r="BL19" s="28">
        <v>723</v>
      </c>
      <c r="BW19" s="28">
        <v>21</v>
      </c>
    </row>
    <row r="20" spans="1:75" ht="27" customHeight="1">
      <c r="A20" s="51" t="s">
        <v>140</v>
      </c>
      <c r="B20" s="37" t="s">
        <v>120</v>
      </c>
      <c r="C20" s="91" t="s">
        <v>151</v>
      </c>
      <c r="D20" s="92"/>
      <c r="E20" s="37" t="s">
        <v>45</v>
      </c>
      <c r="F20" s="24">
        <v>4</v>
      </c>
      <c r="G20" s="61">
        <v>0</v>
      </c>
      <c r="H20" s="24">
        <f t="shared" si="0"/>
        <v>0</v>
      </c>
      <c r="I20" s="24">
        <f t="shared" si="1"/>
        <v>0</v>
      </c>
      <c r="J20" s="24">
        <f t="shared" si="2"/>
        <v>0</v>
      </c>
      <c r="K20" s="6" t="s">
        <v>85</v>
      </c>
      <c r="L20" s="11"/>
      <c r="Z20" s="28">
        <f t="shared" si="3"/>
        <v>0</v>
      </c>
      <c r="AB20" s="28">
        <f t="shared" si="4"/>
        <v>0</v>
      </c>
      <c r="AC20" s="28">
        <f t="shared" si="5"/>
        <v>0</v>
      </c>
      <c r="AD20" s="28">
        <f t="shared" si="6"/>
        <v>0</v>
      </c>
      <c r="AE20" s="28">
        <f t="shared" si="7"/>
        <v>0</v>
      </c>
      <c r="AF20" s="28">
        <f t="shared" si="8"/>
        <v>0</v>
      </c>
      <c r="AG20" s="28">
        <f t="shared" si="9"/>
        <v>0</v>
      </c>
      <c r="AH20" s="28">
        <f t="shared" si="10"/>
        <v>0</v>
      </c>
      <c r="AI20" s="39" t="s">
        <v>119</v>
      </c>
      <c r="AJ20" s="28">
        <f t="shared" si="11"/>
        <v>0</v>
      </c>
      <c r="AK20" s="28">
        <f t="shared" si="12"/>
        <v>0</v>
      </c>
      <c r="AL20" s="28">
        <f t="shared" si="13"/>
        <v>0</v>
      </c>
      <c r="AN20" s="28">
        <v>21</v>
      </c>
      <c r="AO20" s="28">
        <f>G20*0</f>
        <v>0</v>
      </c>
      <c r="AP20" s="28">
        <f>G20*(1-0)</f>
        <v>0</v>
      </c>
      <c r="AQ20" s="21" t="s">
        <v>173</v>
      </c>
      <c r="AV20" s="28">
        <f t="shared" si="14"/>
        <v>0</v>
      </c>
      <c r="AW20" s="28">
        <f t="shared" si="15"/>
        <v>0</v>
      </c>
      <c r="AX20" s="28">
        <f t="shared" si="16"/>
        <v>0</v>
      </c>
      <c r="AY20" s="21" t="s">
        <v>87</v>
      </c>
      <c r="AZ20" s="21" t="s">
        <v>10</v>
      </c>
      <c r="BA20" s="39" t="s">
        <v>135</v>
      </c>
      <c r="BC20" s="28">
        <f t="shared" si="17"/>
        <v>0</v>
      </c>
      <c r="BD20" s="28">
        <f t="shared" si="18"/>
        <v>0</v>
      </c>
      <c r="BE20" s="28">
        <v>0</v>
      </c>
      <c r="BF20" s="28">
        <f>20</f>
        <v>20</v>
      </c>
      <c r="BH20" s="28">
        <f t="shared" si="19"/>
        <v>0</v>
      </c>
      <c r="BI20" s="28">
        <f t="shared" si="20"/>
        <v>0</v>
      </c>
      <c r="BJ20" s="28">
        <f t="shared" si="21"/>
        <v>0</v>
      </c>
      <c r="BK20" s="28"/>
      <c r="BL20" s="28">
        <v>723</v>
      </c>
      <c r="BW20" s="28">
        <v>21</v>
      </c>
    </row>
    <row r="21" spans="1:75" ht="27" customHeight="1">
      <c r="A21" s="18" t="s">
        <v>73</v>
      </c>
      <c r="B21" s="2" t="s">
        <v>143</v>
      </c>
      <c r="C21" s="74" t="s">
        <v>50</v>
      </c>
      <c r="D21" s="69"/>
      <c r="E21" s="2" t="s">
        <v>147</v>
      </c>
      <c r="F21" s="28">
        <v>1.5</v>
      </c>
      <c r="G21" s="61">
        <v>0</v>
      </c>
      <c r="H21" s="28">
        <f t="shared" si="0"/>
        <v>0</v>
      </c>
      <c r="I21" s="28">
        <f t="shared" si="1"/>
        <v>0</v>
      </c>
      <c r="J21" s="28">
        <f t="shared" si="2"/>
        <v>0</v>
      </c>
      <c r="K21" s="21" t="s">
        <v>85</v>
      </c>
      <c r="L21" s="11"/>
      <c r="Z21" s="28">
        <f t="shared" si="3"/>
        <v>0</v>
      </c>
      <c r="AB21" s="28">
        <f t="shared" si="4"/>
        <v>0</v>
      </c>
      <c r="AC21" s="28">
        <f t="shared" si="5"/>
        <v>0</v>
      </c>
      <c r="AD21" s="28">
        <f t="shared" si="6"/>
        <v>0</v>
      </c>
      <c r="AE21" s="28">
        <f t="shared" si="7"/>
        <v>0</v>
      </c>
      <c r="AF21" s="28">
        <f t="shared" si="8"/>
        <v>0</v>
      </c>
      <c r="AG21" s="28">
        <f t="shared" si="9"/>
        <v>0</v>
      </c>
      <c r="AH21" s="28">
        <f t="shared" si="10"/>
        <v>0</v>
      </c>
      <c r="AI21" s="39" t="s">
        <v>119</v>
      </c>
      <c r="AJ21" s="28">
        <f t="shared" si="11"/>
        <v>0</v>
      </c>
      <c r="AK21" s="28">
        <f t="shared" si="12"/>
        <v>0</v>
      </c>
      <c r="AL21" s="28">
        <f t="shared" si="13"/>
        <v>0</v>
      </c>
      <c r="AN21" s="28">
        <v>21</v>
      </c>
      <c r="AO21" s="28">
        <f>G21*0.617675276752768</f>
        <v>0</v>
      </c>
      <c r="AP21" s="28">
        <f>G21*(1-0.617675276752768)</f>
        <v>0</v>
      </c>
      <c r="AQ21" s="21" t="s">
        <v>173</v>
      </c>
      <c r="AV21" s="28">
        <f t="shared" si="14"/>
        <v>0</v>
      </c>
      <c r="AW21" s="28">
        <f t="shared" si="15"/>
        <v>0</v>
      </c>
      <c r="AX21" s="28">
        <f t="shared" si="16"/>
        <v>0</v>
      </c>
      <c r="AY21" s="21" t="s">
        <v>87</v>
      </c>
      <c r="AZ21" s="21" t="s">
        <v>10</v>
      </c>
      <c r="BA21" s="39" t="s">
        <v>135</v>
      </c>
      <c r="BC21" s="28">
        <f t="shared" si="17"/>
        <v>0</v>
      </c>
      <c r="BD21" s="28">
        <f t="shared" si="18"/>
        <v>0</v>
      </c>
      <c r="BE21" s="28">
        <v>0</v>
      </c>
      <c r="BF21" s="28">
        <f>21</f>
        <v>21</v>
      </c>
      <c r="BH21" s="28">
        <f t="shared" si="19"/>
        <v>0</v>
      </c>
      <c r="BI21" s="28">
        <f t="shared" si="20"/>
        <v>0</v>
      </c>
      <c r="BJ21" s="28">
        <f t="shared" si="21"/>
        <v>0</v>
      </c>
      <c r="BK21" s="28"/>
      <c r="BL21" s="28">
        <v>723</v>
      </c>
      <c r="BW21" s="28">
        <v>21</v>
      </c>
    </row>
    <row r="22" spans="1:75" ht="27" customHeight="1">
      <c r="A22" s="18" t="s">
        <v>100</v>
      </c>
      <c r="B22" s="2" t="s">
        <v>124</v>
      </c>
      <c r="C22" s="74" t="s">
        <v>69</v>
      </c>
      <c r="D22" s="69"/>
      <c r="E22" s="2" t="s">
        <v>147</v>
      </c>
      <c r="F22" s="28">
        <v>4</v>
      </c>
      <c r="G22" s="61">
        <v>0</v>
      </c>
      <c r="H22" s="28">
        <f t="shared" si="0"/>
        <v>0</v>
      </c>
      <c r="I22" s="28">
        <f t="shared" si="1"/>
        <v>0</v>
      </c>
      <c r="J22" s="28">
        <f t="shared" si="2"/>
        <v>0</v>
      </c>
      <c r="K22" s="21" t="s">
        <v>85</v>
      </c>
      <c r="L22" s="11"/>
      <c r="Z22" s="28">
        <f t="shared" si="3"/>
        <v>0</v>
      </c>
      <c r="AB22" s="28">
        <f t="shared" si="4"/>
        <v>0</v>
      </c>
      <c r="AC22" s="28">
        <f t="shared" si="5"/>
        <v>0</v>
      </c>
      <c r="AD22" s="28">
        <f t="shared" si="6"/>
        <v>0</v>
      </c>
      <c r="AE22" s="28">
        <f t="shared" si="7"/>
        <v>0</v>
      </c>
      <c r="AF22" s="28">
        <f t="shared" si="8"/>
        <v>0</v>
      </c>
      <c r="AG22" s="28">
        <f t="shared" si="9"/>
        <v>0</v>
      </c>
      <c r="AH22" s="28">
        <f t="shared" si="10"/>
        <v>0</v>
      </c>
      <c r="AI22" s="39" t="s">
        <v>119</v>
      </c>
      <c r="AJ22" s="28">
        <f t="shared" si="11"/>
        <v>0</v>
      </c>
      <c r="AK22" s="28">
        <f t="shared" si="12"/>
        <v>0</v>
      </c>
      <c r="AL22" s="28">
        <f t="shared" si="13"/>
        <v>0</v>
      </c>
      <c r="AN22" s="28">
        <v>21</v>
      </c>
      <c r="AO22" s="28">
        <f>G22*0.600593446411504</f>
        <v>0</v>
      </c>
      <c r="AP22" s="28">
        <f>G22*(1-0.600593446411504)</f>
        <v>0</v>
      </c>
      <c r="AQ22" s="21" t="s">
        <v>173</v>
      </c>
      <c r="AV22" s="28">
        <f t="shared" si="14"/>
        <v>0</v>
      </c>
      <c r="AW22" s="28">
        <f t="shared" si="15"/>
        <v>0</v>
      </c>
      <c r="AX22" s="28">
        <f t="shared" si="16"/>
        <v>0</v>
      </c>
      <c r="AY22" s="21" t="s">
        <v>87</v>
      </c>
      <c r="AZ22" s="21" t="s">
        <v>10</v>
      </c>
      <c r="BA22" s="39" t="s">
        <v>135</v>
      </c>
      <c r="BC22" s="28">
        <f t="shared" si="17"/>
        <v>0</v>
      </c>
      <c r="BD22" s="28">
        <f t="shared" si="18"/>
        <v>0</v>
      </c>
      <c r="BE22" s="28">
        <v>0</v>
      </c>
      <c r="BF22" s="28">
        <f>22</f>
        <v>22</v>
      </c>
      <c r="BH22" s="28">
        <f t="shared" si="19"/>
        <v>0</v>
      </c>
      <c r="BI22" s="28">
        <f t="shared" si="20"/>
        <v>0</v>
      </c>
      <c r="BJ22" s="28">
        <f t="shared" si="21"/>
        <v>0</v>
      </c>
      <c r="BK22" s="28"/>
      <c r="BL22" s="28">
        <v>723</v>
      </c>
      <c r="BW22" s="28">
        <v>21</v>
      </c>
    </row>
    <row r="23" spans="1:75" ht="27" customHeight="1">
      <c r="A23" s="41" t="s">
        <v>148</v>
      </c>
      <c r="B23" s="5" t="s">
        <v>4</v>
      </c>
      <c r="C23" s="91" t="s">
        <v>154</v>
      </c>
      <c r="D23" s="92"/>
      <c r="E23" s="5" t="s">
        <v>147</v>
      </c>
      <c r="F23" s="32">
        <v>4</v>
      </c>
      <c r="G23" s="61">
        <v>0</v>
      </c>
      <c r="H23" s="32">
        <f t="shared" si="0"/>
        <v>0</v>
      </c>
      <c r="I23" s="32">
        <f t="shared" si="1"/>
        <v>0</v>
      </c>
      <c r="J23" s="32">
        <f t="shared" si="2"/>
        <v>0</v>
      </c>
      <c r="K23" s="52" t="s">
        <v>85</v>
      </c>
      <c r="L23" s="11"/>
      <c r="Z23" s="28">
        <f t="shared" si="3"/>
        <v>0</v>
      </c>
      <c r="AB23" s="28">
        <f t="shared" si="4"/>
        <v>0</v>
      </c>
      <c r="AC23" s="28">
        <f t="shared" si="5"/>
        <v>0</v>
      </c>
      <c r="AD23" s="28">
        <f t="shared" si="6"/>
        <v>0</v>
      </c>
      <c r="AE23" s="28">
        <f t="shared" si="7"/>
        <v>0</v>
      </c>
      <c r="AF23" s="28">
        <f t="shared" si="8"/>
        <v>0</v>
      </c>
      <c r="AG23" s="28">
        <f t="shared" si="9"/>
        <v>0</v>
      </c>
      <c r="AH23" s="28">
        <f t="shared" si="10"/>
        <v>0</v>
      </c>
      <c r="AI23" s="39" t="s">
        <v>119</v>
      </c>
      <c r="AJ23" s="28">
        <f t="shared" si="11"/>
        <v>0</v>
      </c>
      <c r="AK23" s="28">
        <f t="shared" si="12"/>
        <v>0</v>
      </c>
      <c r="AL23" s="28">
        <f t="shared" si="13"/>
        <v>0</v>
      </c>
      <c r="AN23" s="28">
        <v>21</v>
      </c>
      <c r="AO23" s="28">
        <f>G23*0.367654320987654</f>
        <v>0</v>
      </c>
      <c r="AP23" s="28">
        <f>G23*(1-0.367654320987654)</f>
        <v>0</v>
      </c>
      <c r="AQ23" s="21" t="s">
        <v>173</v>
      </c>
      <c r="AV23" s="28">
        <f t="shared" si="14"/>
        <v>0</v>
      </c>
      <c r="AW23" s="28">
        <f t="shared" si="15"/>
        <v>0</v>
      </c>
      <c r="AX23" s="28">
        <f t="shared" si="16"/>
        <v>0</v>
      </c>
      <c r="AY23" s="21" t="s">
        <v>87</v>
      </c>
      <c r="AZ23" s="21" t="s">
        <v>10</v>
      </c>
      <c r="BA23" s="39" t="s">
        <v>135</v>
      </c>
      <c r="BC23" s="28">
        <f t="shared" si="17"/>
        <v>0</v>
      </c>
      <c r="BD23" s="28">
        <f t="shared" si="18"/>
        <v>0</v>
      </c>
      <c r="BE23" s="28">
        <v>0</v>
      </c>
      <c r="BF23" s="28">
        <f>23</f>
        <v>23</v>
      </c>
      <c r="BH23" s="28">
        <f t="shared" si="19"/>
        <v>0</v>
      </c>
      <c r="BI23" s="28">
        <f t="shared" si="20"/>
        <v>0</v>
      </c>
      <c r="BJ23" s="28">
        <f t="shared" si="21"/>
        <v>0</v>
      </c>
      <c r="BK23" s="28"/>
      <c r="BL23" s="28">
        <v>723</v>
      </c>
      <c r="BW23" s="28">
        <v>21</v>
      </c>
    </row>
    <row r="24" spans="1:75" ht="27" customHeight="1">
      <c r="A24" s="51" t="s">
        <v>128</v>
      </c>
      <c r="B24" s="37" t="s">
        <v>165</v>
      </c>
      <c r="C24" s="91" t="s">
        <v>182</v>
      </c>
      <c r="D24" s="92"/>
      <c r="E24" s="37" t="s">
        <v>147</v>
      </c>
      <c r="F24" s="24">
        <v>9.5</v>
      </c>
      <c r="G24" s="61">
        <v>0</v>
      </c>
      <c r="H24" s="24">
        <f t="shared" si="0"/>
        <v>0</v>
      </c>
      <c r="I24" s="24">
        <f t="shared" si="1"/>
        <v>0</v>
      </c>
      <c r="J24" s="24">
        <f t="shared" si="2"/>
        <v>0</v>
      </c>
      <c r="K24" s="6" t="s">
        <v>85</v>
      </c>
      <c r="L24" s="11"/>
      <c r="Z24" s="28">
        <f t="shared" si="3"/>
        <v>0</v>
      </c>
      <c r="AB24" s="28">
        <f t="shared" si="4"/>
        <v>0</v>
      </c>
      <c r="AC24" s="28">
        <f t="shared" si="5"/>
        <v>0</v>
      </c>
      <c r="AD24" s="28">
        <f t="shared" si="6"/>
        <v>0</v>
      </c>
      <c r="AE24" s="28">
        <f t="shared" si="7"/>
        <v>0</v>
      </c>
      <c r="AF24" s="28">
        <f t="shared" si="8"/>
        <v>0</v>
      </c>
      <c r="AG24" s="28">
        <f t="shared" si="9"/>
        <v>0</v>
      </c>
      <c r="AH24" s="28">
        <f t="shared" si="10"/>
        <v>0</v>
      </c>
      <c r="AI24" s="39" t="s">
        <v>119</v>
      </c>
      <c r="AJ24" s="28">
        <f t="shared" si="11"/>
        <v>0</v>
      </c>
      <c r="AK24" s="28">
        <f t="shared" si="12"/>
        <v>0</v>
      </c>
      <c r="AL24" s="28">
        <f t="shared" si="13"/>
        <v>0</v>
      </c>
      <c r="AN24" s="28">
        <v>21</v>
      </c>
      <c r="AO24" s="28">
        <f>G24*0.214405762304922</f>
        <v>0</v>
      </c>
      <c r="AP24" s="28">
        <f>G24*(1-0.214405762304922)</f>
        <v>0</v>
      </c>
      <c r="AQ24" s="21" t="s">
        <v>173</v>
      </c>
      <c r="AV24" s="28">
        <f t="shared" si="14"/>
        <v>0</v>
      </c>
      <c r="AW24" s="28">
        <f t="shared" si="15"/>
        <v>0</v>
      </c>
      <c r="AX24" s="28">
        <f t="shared" si="16"/>
        <v>0</v>
      </c>
      <c r="AY24" s="21" t="s">
        <v>87</v>
      </c>
      <c r="AZ24" s="21" t="s">
        <v>10</v>
      </c>
      <c r="BA24" s="39" t="s">
        <v>135</v>
      </c>
      <c r="BC24" s="28">
        <f t="shared" si="17"/>
        <v>0</v>
      </c>
      <c r="BD24" s="28">
        <f t="shared" si="18"/>
        <v>0</v>
      </c>
      <c r="BE24" s="28">
        <v>0</v>
      </c>
      <c r="BF24" s="28">
        <f>24</f>
        <v>24</v>
      </c>
      <c r="BH24" s="28">
        <f t="shared" si="19"/>
        <v>0</v>
      </c>
      <c r="BI24" s="28">
        <f t="shared" si="20"/>
        <v>0</v>
      </c>
      <c r="BJ24" s="28">
        <f t="shared" si="21"/>
        <v>0</v>
      </c>
      <c r="BK24" s="28"/>
      <c r="BL24" s="28">
        <v>723</v>
      </c>
      <c r="BW24" s="28">
        <v>21</v>
      </c>
    </row>
    <row r="25" spans="1:75" ht="27" customHeight="1">
      <c r="A25" s="51" t="s">
        <v>52</v>
      </c>
      <c r="B25" s="37" t="s">
        <v>59</v>
      </c>
      <c r="C25" s="91" t="s">
        <v>160</v>
      </c>
      <c r="D25" s="92"/>
      <c r="E25" s="37" t="s">
        <v>63</v>
      </c>
      <c r="F25" s="24">
        <v>2</v>
      </c>
      <c r="G25" s="61">
        <v>0</v>
      </c>
      <c r="H25" s="24">
        <f t="shared" si="0"/>
        <v>0</v>
      </c>
      <c r="I25" s="24">
        <f t="shared" si="1"/>
        <v>0</v>
      </c>
      <c r="J25" s="24">
        <f t="shared" si="2"/>
        <v>0</v>
      </c>
      <c r="K25" s="6" t="s">
        <v>85</v>
      </c>
      <c r="L25" s="11"/>
      <c r="Z25" s="28">
        <f t="shared" si="3"/>
        <v>0</v>
      </c>
      <c r="AB25" s="28">
        <f t="shared" si="4"/>
        <v>0</v>
      </c>
      <c r="AC25" s="28">
        <f t="shared" si="5"/>
        <v>0</v>
      </c>
      <c r="AD25" s="28">
        <f t="shared" si="6"/>
        <v>0</v>
      </c>
      <c r="AE25" s="28">
        <f t="shared" si="7"/>
        <v>0</v>
      </c>
      <c r="AF25" s="28">
        <f t="shared" si="8"/>
        <v>0</v>
      </c>
      <c r="AG25" s="28">
        <f t="shared" si="9"/>
        <v>0</v>
      </c>
      <c r="AH25" s="28">
        <f t="shared" si="10"/>
        <v>0</v>
      </c>
      <c r="AI25" s="39" t="s">
        <v>119</v>
      </c>
      <c r="AJ25" s="28">
        <f t="shared" si="11"/>
        <v>0</v>
      </c>
      <c r="AK25" s="28">
        <f t="shared" si="12"/>
        <v>0</v>
      </c>
      <c r="AL25" s="28">
        <f t="shared" si="13"/>
        <v>0</v>
      </c>
      <c r="AN25" s="28">
        <v>21</v>
      </c>
      <c r="AO25" s="28">
        <f>G25*0.307339092536384</f>
        <v>0</v>
      </c>
      <c r="AP25" s="28">
        <f>G25*(1-0.307339092536384)</f>
        <v>0</v>
      </c>
      <c r="AQ25" s="21" t="s">
        <v>173</v>
      </c>
      <c r="AV25" s="28">
        <f t="shared" si="14"/>
        <v>0</v>
      </c>
      <c r="AW25" s="28">
        <f t="shared" si="15"/>
        <v>0</v>
      </c>
      <c r="AX25" s="28">
        <f t="shared" si="16"/>
        <v>0</v>
      </c>
      <c r="AY25" s="21" t="s">
        <v>87</v>
      </c>
      <c r="AZ25" s="21" t="s">
        <v>10</v>
      </c>
      <c r="BA25" s="39" t="s">
        <v>135</v>
      </c>
      <c r="BC25" s="28">
        <f t="shared" si="17"/>
        <v>0</v>
      </c>
      <c r="BD25" s="28">
        <f t="shared" si="18"/>
        <v>0</v>
      </c>
      <c r="BE25" s="28">
        <v>0</v>
      </c>
      <c r="BF25" s="28">
        <f>25</f>
        <v>25</v>
      </c>
      <c r="BH25" s="28">
        <f t="shared" si="19"/>
        <v>0</v>
      </c>
      <c r="BI25" s="28">
        <f t="shared" si="20"/>
        <v>0</v>
      </c>
      <c r="BJ25" s="28">
        <f t="shared" si="21"/>
        <v>0</v>
      </c>
      <c r="BK25" s="28"/>
      <c r="BL25" s="28">
        <v>723</v>
      </c>
      <c r="BW25" s="28">
        <v>21</v>
      </c>
    </row>
    <row r="26" spans="1:75" ht="13.5" customHeight="1">
      <c r="A26" s="51" t="s">
        <v>102</v>
      </c>
      <c r="B26" s="37" t="s">
        <v>127</v>
      </c>
      <c r="C26" s="91" t="s">
        <v>153</v>
      </c>
      <c r="D26" s="92"/>
      <c r="E26" s="37" t="s">
        <v>45</v>
      </c>
      <c r="F26" s="24">
        <v>2</v>
      </c>
      <c r="G26" s="61">
        <v>0</v>
      </c>
      <c r="H26" s="24">
        <f t="shared" si="0"/>
        <v>0</v>
      </c>
      <c r="I26" s="24">
        <f t="shared" si="1"/>
        <v>0</v>
      </c>
      <c r="J26" s="24">
        <f t="shared" si="2"/>
        <v>0</v>
      </c>
      <c r="K26" s="6" t="s">
        <v>85</v>
      </c>
      <c r="L26" s="11"/>
      <c r="Z26" s="28">
        <f t="shared" si="3"/>
        <v>0</v>
      </c>
      <c r="AB26" s="28">
        <f t="shared" si="4"/>
        <v>0</v>
      </c>
      <c r="AC26" s="28">
        <f t="shared" si="5"/>
        <v>0</v>
      </c>
      <c r="AD26" s="28">
        <f t="shared" si="6"/>
        <v>0</v>
      </c>
      <c r="AE26" s="28">
        <f t="shared" si="7"/>
        <v>0</v>
      </c>
      <c r="AF26" s="28">
        <f t="shared" si="8"/>
        <v>0</v>
      </c>
      <c r="AG26" s="28">
        <f t="shared" si="9"/>
        <v>0</v>
      </c>
      <c r="AH26" s="28">
        <f t="shared" si="10"/>
        <v>0</v>
      </c>
      <c r="AI26" s="39" t="s">
        <v>119</v>
      </c>
      <c r="AJ26" s="28">
        <f t="shared" si="11"/>
        <v>0</v>
      </c>
      <c r="AK26" s="28">
        <f t="shared" si="12"/>
        <v>0</v>
      </c>
      <c r="AL26" s="28">
        <f t="shared" si="13"/>
        <v>0</v>
      </c>
      <c r="AN26" s="28">
        <v>21</v>
      </c>
      <c r="AO26" s="28">
        <f>G26*0.757401293350432</f>
        <v>0</v>
      </c>
      <c r="AP26" s="28">
        <f>G26*(1-0.757401293350432)</f>
        <v>0</v>
      </c>
      <c r="AQ26" s="21" t="s">
        <v>173</v>
      </c>
      <c r="AV26" s="28">
        <f t="shared" si="14"/>
        <v>0</v>
      </c>
      <c r="AW26" s="28">
        <f t="shared" si="15"/>
        <v>0</v>
      </c>
      <c r="AX26" s="28">
        <f t="shared" si="16"/>
        <v>0</v>
      </c>
      <c r="AY26" s="21" t="s">
        <v>87</v>
      </c>
      <c r="AZ26" s="21" t="s">
        <v>10</v>
      </c>
      <c r="BA26" s="39" t="s">
        <v>135</v>
      </c>
      <c r="BC26" s="28">
        <f t="shared" si="17"/>
        <v>0</v>
      </c>
      <c r="BD26" s="28">
        <f t="shared" si="18"/>
        <v>0</v>
      </c>
      <c r="BE26" s="28">
        <v>0</v>
      </c>
      <c r="BF26" s="28">
        <f>26</f>
        <v>26</v>
      </c>
      <c r="BH26" s="28">
        <f t="shared" si="19"/>
        <v>0</v>
      </c>
      <c r="BI26" s="28">
        <f t="shared" si="20"/>
        <v>0</v>
      </c>
      <c r="BJ26" s="28">
        <f t="shared" si="21"/>
        <v>0</v>
      </c>
      <c r="BK26" s="28"/>
      <c r="BL26" s="28">
        <v>723</v>
      </c>
      <c r="BW26" s="28">
        <v>21</v>
      </c>
    </row>
    <row r="27" spans="1:75" ht="13.5" customHeight="1">
      <c r="A27" s="51" t="s">
        <v>74</v>
      </c>
      <c r="B27" s="37" t="s">
        <v>35</v>
      </c>
      <c r="C27" s="91" t="s">
        <v>184</v>
      </c>
      <c r="D27" s="92"/>
      <c r="E27" s="37" t="s">
        <v>45</v>
      </c>
      <c r="F27" s="24">
        <v>2</v>
      </c>
      <c r="G27" s="61">
        <v>0</v>
      </c>
      <c r="H27" s="24">
        <f t="shared" si="0"/>
        <v>0</v>
      </c>
      <c r="I27" s="24">
        <f t="shared" si="1"/>
        <v>0</v>
      </c>
      <c r="J27" s="24">
        <f t="shared" si="2"/>
        <v>0</v>
      </c>
      <c r="K27" s="6" t="s">
        <v>85</v>
      </c>
      <c r="L27" s="11"/>
      <c r="Z27" s="28">
        <f t="shared" si="3"/>
        <v>0</v>
      </c>
      <c r="AB27" s="28">
        <f t="shared" si="4"/>
        <v>0</v>
      </c>
      <c r="AC27" s="28">
        <f t="shared" si="5"/>
        <v>0</v>
      </c>
      <c r="AD27" s="28">
        <f t="shared" si="6"/>
        <v>0</v>
      </c>
      <c r="AE27" s="28">
        <f t="shared" si="7"/>
        <v>0</v>
      </c>
      <c r="AF27" s="28">
        <f t="shared" si="8"/>
        <v>0</v>
      </c>
      <c r="AG27" s="28">
        <f t="shared" si="9"/>
        <v>0</v>
      </c>
      <c r="AH27" s="28">
        <f t="shared" si="10"/>
        <v>0</v>
      </c>
      <c r="AI27" s="39" t="s">
        <v>119</v>
      </c>
      <c r="AJ27" s="28">
        <f t="shared" si="11"/>
        <v>0</v>
      </c>
      <c r="AK27" s="28">
        <f t="shared" si="12"/>
        <v>0</v>
      </c>
      <c r="AL27" s="28">
        <f t="shared" si="13"/>
        <v>0</v>
      </c>
      <c r="AN27" s="28">
        <v>21</v>
      </c>
      <c r="AO27" s="28">
        <f>G27*0.908970149253731</f>
        <v>0</v>
      </c>
      <c r="AP27" s="28">
        <f>G27*(1-0.908970149253731)</f>
        <v>0</v>
      </c>
      <c r="AQ27" s="21" t="s">
        <v>173</v>
      </c>
      <c r="AV27" s="28">
        <f t="shared" si="14"/>
        <v>0</v>
      </c>
      <c r="AW27" s="28">
        <f t="shared" si="15"/>
        <v>0</v>
      </c>
      <c r="AX27" s="28">
        <f t="shared" si="16"/>
        <v>0</v>
      </c>
      <c r="AY27" s="21" t="s">
        <v>87</v>
      </c>
      <c r="AZ27" s="21" t="s">
        <v>10</v>
      </c>
      <c r="BA27" s="39" t="s">
        <v>135</v>
      </c>
      <c r="BC27" s="28">
        <f t="shared" si="17"/>
        <v>0</v>
      </c>
      <c r="BD27" s="28">
        <f t="shared" si="18"/>
        <v>0</v>
      </c>
      <c r="BE27" s="28">
        <v>0</v>
      </c>
      <c r="BF27" s="28">
        <f>27</f>
        <v>27</v>
      </c>
      <c r="BH27" s="28">
        <f t="shared" si="19"/>
        <v>0</v>
      </c>
      <c r="BI27" s="28">
        <f t="shared" si="20"/>
        <v>0</v>
      </c>
      <c r="BJ27" s="28">
        <f t="shared" si="21"/>
        <v>0</v>
      </c>
      <c r="BK27" s="28"/>
      <c r="BL27" s="28">
        <v>723</v>
      </c>
      <c r="BW27" s="28">
        <v>21</v>
      </c>
    </row>
    <row r="28" spans="1:75" ht="27" customHeight="1">
      <c r="A28" s="51" t="s">
        <v>16</v>
      </c>
      <c r="B28" s="37" t="s">
        <v>81</v>
      </c>
      <c r="C28" s="91" t="s">
        <v>60</v>
      </c>
      <c r="D28" s="92"/>
      <c r="E28" s="37" t="s">
        <v>45</v>
      </c>
      <c r="F28" s="24">
        <v>6</v>
      </c>
      <c r="G28" s="61">
        <v>0</v>
      </c>
      <c r="H28" s="24">
        <f t="shared" si="0"/>
        <v>0</v>
      </c>
      <c r="I28" s="24">
        <f t="shared" si="1"/>
        <v>0</v>
      </c>
      <c r="J28" s="24">
        <f t="shared" si="2"/>
        <v>0</v>
      </c>
      <c r="K28" s="6" t="s">
        <v>85</v>
      </c>
      <c r="L28" s="11"/>
      <c r="Z28" s="28">
        <f t="shared" si="3"/>
        <v>0</v>
      </c>
      <c r="AB28" s="28">
        <f t="shared" si="4"/>
        <v>0</v>
      </c>
      <c r="AC28" s="28">
        <f t="shared" si="5"/>
        <v>0</v>
      </c>
      <c r="AD28" s="28">
        <f t="shared" si="6"/>
        <v>0</v>
      </c>
      <c r="AE28" s="28">
        <f t="shared" si="7"/>
        <v>0</v>
      </c>
      <c r="AF28" s="28">
        <f t="shared" si="8"/>
        <v>0</v>
      </c>
      <c r="AG28" s="28">
        <f t="shared" si="9"/>
        <v>0</v>
      </c>
      <c r="AH28" s="28">
        <f t="shared" si="10"/>
        <v>0</v>
      </c>
      <c r="AI28" s="39" t="s">
        <v>119</v>
      </c>
      <c r="AJ28" s="28">
        <f t="shared" si="11"/>
        <v>0</v>
      </c>
      <c r="AK28" s="28">
        <f t="shared" si="12"/>
        <v>0</v>
      </c>
      <c r="AL28" s="28">
        <f t="shared" si="13"/>
        <v>0</v>
      </c>
      <c r="AN28" s="28">
        <v>21</v>
      </c>
      <c r="AO28" s="28">
        <f>G28*0.0334110787172012</f>
        <v>0</v>
      </c>
      <c r="AP28" s="28">
        <f>G28*(1-0.0334110787172012)</f>
        <v>0</v>
      </c>
      <c r="AQ28" s="21" t="s">
        <v>173</v>
      </c>
      <c r="AV28" s="28">
        <f t="shared" si="14"/>
        <v>0</v>
      </c>
      <c r="AW28" s="28">
        <f t="shared" si="15"/>
        <v>0</v>
      </c>
      <c r="AX28" s="28">
        <f t="shared" si="16"/>
        <v>0</v>
      </c>
      <c r="AY28" s="21" t="s">
        <v>87</v>
      </c>
      <c r="AZ28" s="21" t="s">
        <v>10</v>
      </c>
      <c r="BA28" s="39" t="s">
        <v>135</v>
      </c>
      <c r="BC28" s="28">
        <f t="shared" si="17"/>
        <v>0</v>
      </c>
      <c r="BD28" s="28">
        <f t="shared" si="18"/>
        <v>0</v>
      </c>
      <c r="BE28" s="28">
        <v>0</v>
      </c>
      <c r="BF28" s="28">
        <f>28</f>
        <v>28</v>
      </c>
      <c r="BH28" s="28">
        <f t="shared" si="19"/>
        <v>0</v>
      </c>
      <c r="BI28" s="28">
        <f t="shared" si="20"/>
        <v>0</v>
      </c>
      <c r="BJ28" s="28">
        <f t="shared" si="21"/>
        <v>0</v>
      </c>
      <c r="BK28" s="28"/>
      <c r="BL28" s="28">
        <v>723</v>
      </c>
      <c r="BW28" s="28">
        <v>21</v>
      </c>
    </row>
    <row r="29" spans="1:75" ht="13.5" customHeight="1">
      <c r="A29" s="51" t="s">
        <v>122</v>
      </c>
      <c r="B29" s="37" t="s">
        <v>65</v>
      </c>
      <c r="C29" s="91" t="s">
        <v>133</v>
      </c>
      <c r="D29" s="92"/>
      <c r="E29" s="37" t="s">
        <v>45</v>
      </c>
      <c r="F29" s="24">
        <v>4</v>
      </c>
      <c r="G29" s="61">
        <v>0</v>
      </c>
      <c r="H29" s="24">
        <f t="shared" si="0"/>
        <v>0</v>
      </c>
      <c r="I29" s="24">
        <f t="shared" si="1"/>
        <v>0</v>
      </c>
      <c r="J29" s="24">
        <f t="shared" si="2"/>
        <v>0</v>
      </c>
      <c r="K29" s="6" t="s">
        <v>85</v>
      </c>
      <c r="L29" s="11"/>
      <c r="Z29" s="28">
        <f t="shared" si="3"/>
        <v>0</v>
      </c>
      <c r="AB29" s="28">
        <f t="shared" si="4"/>
        <v>0</v>
      </c>
      <c r="AC29" s="28">
        <f t="shared" si="5"/>
        <v>0</v>
      </c>
      <c r="AD29" s="28">
        <f t="shared" si="6"/>
        <v>0</v>
      </c>
      <c r="AE29" s="28">
        <f t="shared" si="7"/>
        <v>0</v>
      </c>
      <c r="AF29" s="28">
        <f t="shared" si="8"/>
        <v>0</v>
      </c>
      <c r="AG29" s="28">
        <f t="shared" si="9"/>
        <v>0</v>
      </c>
      <c r="AH29" s="28">
        <f t="shared" si="10"/>
        <v>0</v>
      </c>
      <c r="AI29" s="39" t="s">
        <v>119</v>
      </c>
      <c r="AJ29" s="28">
        <f t="shared" si="11"/>
        <v>0</v>
      </c>
      <c r="AK29" s="28">
        <f t="shared" si="12"/>
        <v>0</v>
      </c>
      <c r="AL29" s="28">
        <f t="shared" si="13"/>
        <v>0</v>
      </c>
      <c r="AN29" s="28">
        <v>21</v>
      </c>
      <c r="AO29" s="28">
        <f>G29*0.851408071748879</f>
        <v>0</v>
      </c>
      <c r="AP29" s="28">
        <f>G29*(1-0.851408071748879)</f>
        <v>0</v>
      </c>
      <c r="AQ29" s="21" t="s">
        <v>173</v>
      </c>
      <c r="AV29" s="28">
        <f t="shared" si="14"/>
        <v>0</v>
      </c>
      <c r="AW29" s="28">
        <f t="shared" si="15"/>
        <v>0</v>
      </c>
      <c r="AX29" s="28">
        <f t="shared" si="16"/>
        <v>0</v>
      </c>
      <c r="AY29" s="21" t="s">
        <v>87</v>
      </c>
      <c r="AZ29" s="21" t="s">
        <v>10</v>
      </c>
      <c r="BA29" s="39" t="s">
        <v>135</v>
      </c>
      <c r="BC29" s="28">
        <f t="shared" si="17"/>
        <v>0</v>
      </c>
      <c r="BD29" s="28">
        <f t="shared" si="18"/>
        <v>0</v>
      </c>
      <c r="BE29" s="28">
        <v>0</v>
      </c>
      <c r="BF29" s="28">
        <f>29</f>
        <v>29</v>
      </c>
      <c r="BH29" s="28">
        <f t="shared" si="19"/>
        <v>0</v>
      </c>
      <c r="BI29" s="28">
        <f t="shared" si="20"/>
        <v>0</v>
      </c>
      <c r="BJ29" s="28">
        <f t="shared" si="21"/>
        <v>0</v>
      </c>
      <c r="BK29" s="28"/>
      <c r="BL29" s="28">
        <v>723</v>
      </c>
      <c r="BW29" s="28">
        <v>21</v>
      </c>
    </row>
    <row r="30" spans="1:75" ht="27" customHeight="1">
      <c r="A30" s="51" t="s">
        <v>144</v>
      </c>
      <c r="B30" s="37" t="s">
        <v>3</v>
      </c>
      <c r="C30" s="91" t="s">
        <v>129</v>
      </c>
      <c r="D30" s="92"/>
      <c r="E30" s="37" t="s">
        <v>45</v>
      </c>
      <c r="F30" s="24">
        <v>4</v>
      </c>
      <c r="G30" s="61">
        <v>0</v>
      </c>
      <c r="H30" s="24">
        <f t="shared" si="0"/>
        <v>0</v>
      </c>
      <c r="I30" s="24">
        <f t="shared" si="1"/>
        <v>0</v>
      </c>
      <c r="J30" s="24">
        <f t="shared" si="2"/>
        <v>0</v>
      </c>
      <c r="K30" s="6" t="s">
        <v>85</v>
      </c>
      <c r="L30" s="11"/>
      <c r="Z30" s="28">
        <f t="shared" si="3"/>
        <v>0</v>
      </c>
      <c r="AB30" s="28">
        <f t="shared" si="4"/>
        <v>0</v>
      </c>
      <c r="AC30" s="28">
        <f t="shared" si="5"/>
        <v>0</v>
      </c>
      <c r="AD30" s="28">
        <f t="shared" si="6"/>
        <v>0</v>
      </c>
      <c r="AE30" s="28">
        <f t="shared" si="7"/>
        <v>0</v>
      </c>
      <c r="AF30" s="28">
        <f t="shared" si="8"/>
        <v>0</v>
      </c>
      <c r="AG30" s="28">
        <f t="shared" si="9"/>
        <v>0</v>
      </c>
      <c r="AH30" s="28">
        <f t="shared" si="10"/>
        <v>0</v>
      </c>
      <c r="AI30" s="39" t="s">
        <v>119</v>
      </c>
      <c r="AJ30" s="28">
        <f t="shared" si="11"/>
        <v>0</v>
      </c>
      <c r="AK30" s="28">
        <f t="shared" si="12"/>
        <v>0</v>
      </c>
      <c r="AL30" s="28">
        <f t="shared" si="13"/>
        <v>0</v>
      </c>
      <c r="AN30" s="28">
        <v>21</v>
      </c>
      <c r="AO30" s="28">
        <f>G30*0.0430794677091948</f>
        <v>0</v>
      </c>
      <c r="AP30" s="28">
        <f>G30*(1-0.0430794677091948)</f>
        <v>0</v>
      </c>
      <c r="AQ30" s="21" t="s">
        <v>173</v>
      </c>
      <c r="AV30" s="28">
        <f t="shared" si="14"/>
        <v>0</v>
      </c>
      <c r="AW30" s="28">
        <f t="shared" si="15"/>
        <v>0</v>
      </c>
      <c r="AX30" s="28">
        <f t="shared" si="16"/>
        <v>0</v>
      </c>
      <c r="AY30" s="21" t="s">
        <v>87</v>
      </c>
      <c r="AZ30" s="21" t="s">
        <v>10</v>
      </c>
      <c r="BA30" s="39" t="s">
        <v>135</v>
      </c>
      <c r="BC30" s="28">
        <f t="shared" si="17"/>
        <v>0</v>
      </c>
      <c r="BD30" s="28">
        <f t="shared" si="18"/>
        <v>0</v>
      </c>
      <c r="BE30" s="28">
        <v>0</v>
      </c>
      <c r="BF30" s="28">
        <f>30</f>
        <v>30</v>
      </c>
      <c r="BH30" s="28">
        <f t="shared" si="19"/>
        <v>0</v>
      </c>
      <c r="BI30" s="28">
        <f t="shared" si="20"/>
        <v>0</v>
      </c>
      <c r="BJ30" s="28">
        <f t="shared" si="21"/>
        <v>0</v>
      </c>
      <c r="BK30" s="28"/>
      <c r="BL30" s="28">
        <v>723</v>
      </c>
      <c r="BW30" s="28">
        <v>21</v>
      </c>
    </row>
    <row r="31" spans="1:75" ht="13.5" customHeight="1">
      <c r="A31" s="51" t="s">
        <v>106</v>
      </c>
      <c r="B31" s="37" t="s">
        <v>181</v>
      </c>
      <c r="C31" s="91" t="s">
        <v>79</v>
      </c>
      <c r="D31" s="92"/>
      <c r="E31" s="37" t="s">
        <v>45</v>
      </c>
      <c r="F31" s="24">
        <v>4</v>
      </c>
      <c r="G31" s="61">
        <v>0</v>
      </c>
      <c r="H31" s="24">
        <f t="shared" si="0"/>
        <v>0</v>
      </c>
      <c r="I31" s="24">
        <f t="shared" si="1"/>
        <v>0</v>
      </c>
      <c r="J31" s="24">
        <f t="shared" si="2"/>
        <v>0</v>
      </c>
      <c r="K31" s="6" t="s">
        <v>85</v>
      </c>
      <c r="L31" s="11"/>
      <c r="Z31" s="28">
        <f t="shared" si="3"/>
        <v>0</v>
      </c>
      <c r="AB31" s="28">
        <f t="shared" si="4"/>
        <v>0</v>
      </c>
      <c r="AC31" s="28">
        <f t="shared" si="5"/>
        <v>0</v>
      </c>
      <c r="AD31" s="28">
        <f t="shared" si="6"/>
        <v>0</v>
      </c>
      <c r="AE31" s="28">
        <f t="shared" si="7"/>
        <v>0</v>
      </c>
      <c r="AF31" s="28">
        <f t="shared" si="8"/>
        <v>0</v>
      </c>
      <c r="AG31" s="28">
        <f t="shared" si="9"/>
        <v>0</v>
      </c>
      <c r="AH31" s="28">
        <f t="shared" si="10"/>
        <v>0</v>
      </c>
      <c r="AI31" s="39" t="s">
        <v>119</v>
      </c>
      <c r="AJ31" s="28">
        <f t="shared" si="11"/>
        <v>0</v>
      </c>
      <c r="AK31" s="28">
        <f t="shared" si="12"/>
        <v>0</v>
      </c>
      <c r="AL31" s="28">
        <f t="shared" si="13"/>
        <v>0</v>
      </c>
      <c r="AN31" s="28">
        <v>21</v>
      </c>
      <c r="AO31" s="28">
        <f>G31*0.767160235592008</f>
        <v>0</v>
      </c>
      <c r="AP31" s="28">
        <f>G31*(1-0.767160235592008)</f>
        <v>0</v>
      </c>
      <c r="AQ31" s="21" t="s">
        <v>173</v>
      </c>
      <c r="AV31" s="28">
        <f t="shared" si="14"/>
        <v>0</v>
      </c>
      <c r="AW31" s="28">
        <f t="shared" si="15"/>
        <v>0</v>
      </c>
      <c r="AX31" s="28">
        <f t="shared" si="16"/>
        <v>0</v>
      </c>
      <c r="AY31" s="21" t="s">
        <v>87</v>
      </c>
      <c r="AZ31" s="21" t="s">
        <v>10</v>
      </c>
      <c r="BA31" s="39" t="s">
        <v>135</v>
      </c>
      <c r="BC31" s="28">
        <f t="shared" si="17"/>
        <v>0</v>
      </c>
      <c r="BD31" s="28">
        <f t="shared" si="18"/>
        <v>0</v>
      </c>
      <c r="BE31" s="28">
        <v>0</v>
      </c>
      <c r="BF31" s="28">
        <f>31</f>
        <v>31</v>
      </c>
      <c r="BH31" s="28">
        <f t="shared" si="19"/>
        <v>0</v>
      </c>
      <c r="BI31" s="28">
        <f t="shared" si="20"/>
        <v>0</v>
      </c>
      <c r="BJ31" s="28">
        <f t="shared" si="21"/>
        <v>0</v>
      </c>
      <c r="BK31" s="28"/>
      <c r="BL31" s="28">
        <v>723</v>
      </c>
      <c r="BW31" s="28">
        <v>21</v>
      </c>
    </row>
    <row r="32" spans="1:75" ht="27" customHeight="1">
      <c r="A32" s="51" t="s">
        <v>7</v>
      </c>
      <c r="B32" s="37" t="s">
        <v>22</v>
      </c>
      <c r="C32" s="91" t="s">
        <v>194</v>
      </c>
      <c r="D32" s="92"/>
      <c r="E32" s="37" t="s">
        <v>45</v>
      </c>
      <c r="F32" s="24">
        <v>2</v>
      </c>
      <c r="G32" s="61">
        <v>0</v>
      </c>
      <c r="H32" s="24">
        <f t="shared" si="0"/>
        <v>0</v>
      </c>
      <c r="I32" s="24">
        <f t="shared" si="1"/>
        <v>0</v>
      </c>
      <c r="J32" s="24">
        <f t="shared" si="2"/>
        <v>0</v>
      </c>
      <c r="K32" s="6" t="s">
        <v>85</v>
      </c>
      <c r="L32" s="11"/>
      <c r="Z32" s="28">
        <f t="shared" si="3"/>
        <v>0</v>
      </c>
      <c r="AB32" s="28">
        <f t="shared" si="4"/>
        <v>0</v>
      </c>
      <c r="AC32" s="28">
        <f t="shared" si="5"/>
        <v>0</v>
      </c>
      <c r="AD32" s="28">
        <f t="shared" si="6"/>
        <v>0</v>
      </c>
      <c r="AE32" s="28">
        <f t="shared" si="7"/>
        <v>0</v>
      </c>
      <c r="AF32" s="28">
        <f t="shared" si="8"/>
        <v>0</v>
      </c>
      <c r="AG32" s="28">
        <f t="shared" si="9"/>
        <v>0</v>
      </c>
      <c r="AH32" s="28">
        <f t="shared" si="10"/>
        <v>0</v>
      </c>
      <c r="AI32" s="39" t="s">
        <v>119</v>
      </c>
      <c r="AJ32" s="28">
        <f t="shared" si="11"/>
        <v>0</v>
      </c>
      <c r="AK32" s="28">
        <f t="shared" si="12"/>
        <v>0</v>
      </c>
      <c r="AL32" s="28">
        <f t="shared" si="13"/>
        <v>0</v>
      </c>
      <c r="AN32" s="28">
        <v>21</v>
      </c>
      <c r="AO32" s="28">
        <f>G32*0.341586206896552</f>
        <v>0</v>
      </c>
      <c r="AP32" s="28">
        <f>G32*(1-0.341586206896552)</f>
        <v>0</v>
      </c>
      <c r="AQ32" s="21" t="s">
        <v>173</v>
      </c>
      <c r="AV32" s="28">
        <f t="shared" si="14"/>
        <v>0</v>
      </c>
      <c r="AW32" s="28">
        <f t="shared" si="15"/>
        <v>0</v>
      </c>
      <c r="AX32" s="28">
        <f t="shared" si="16"/>
        <v>0</v>
      </c>
      <c r="AY32" s="21" t="s">
        <v>87</v>
      </c>
      <c r="AZ32" s="21" t="s">
        <v>10</v>
      </c>
      <c r="BA32" s="39" t="s">
        <v>135</v>
      </c>
      <c r="BC32" s="28">
        <f t="shared" si="17"/>
        <v>0</v>
      </c>
      <c r="BD32" s="28">
        <f t="shared" si="18"/>
        <v>0</v>
      </c>
      <c r="BE32" s="28">
        <v>0</v>
      </c>
      <c r="BF32" s="28">
        <f>32</f>
        <v>32</v>
      </c>
      <c r="BH32" s="28">
        <f t="shared" si="19"/>
        <v>0</v>
      </c>
      <c r="BI32" s="28">
        <f t="shared" si="20"/>
        <v>0</v>
      </c>
      <c r="BJ32" s="28">
        <f t="shared" si="21"/>
        <v>0</v>
      </c>
      <c r="BK32" s="28"/>
      <c r="BL32" s="28">
        <v>723</v>
      </c>
      <c r="BW32" s="28">
        <v>21</v>
      </c>
    </row>
    <row r="33" spans="1:75" ht="27" customHeight="1">
      <c r="A33" s="18" t="s">
        <v>123</v>
      </c>
      <c r="B33" s="2" t="s">
        <v>5</v>
      </c>
      <c r="C33" s="74" t="s">
        <v>192</v>
      </c>
      <c r="D33" s="69"/>
      <c r="E33" s="2" t="s">
        <v>45</v>
      </c>
      <c r="F33" s="28">
        <v>1</v>
      </c>
      <c r="G33" s="61">
        <v>0</v>
      </c>
      <c r="H33" s="28">
        <f t="shared" si="0"/>
        <v>0</v>
      </c>
      <c r="I33" s="28">
        <f t="shared" si="1"/>
        <v>0</v>
      </c>
      <c r="J33" s="28">
        <f t="shared" si="2"/>
        <v>0</v>
      </c>
      <c r="K33" s="21" t="s">
        <v>85</v>
      </c>
      <c r="L33" s="11"/>
      <c r="Z33" s="28">
        <f t="shared" si="3"/>
        <v>0</v>
      </c>
      <c r="AB33" s="28">
        <f t="shared" si="4"/>
        <v>0</v>
      </c>
      <c r="AC33" s="28">
        <f t="shared" si="5"/>
        <v>0</v>
      </c>
      <c r="AD33" s="28">
        <f t="shared" si="6"/>
        <v>0</v>
      </c>
      <c r="AE33" s="28">
        <f t="shared" si="7"/>
        <v>0</v>
      </c>
      <c r="AF33" s="28">
        <f t="shared" si="8"/>
        <v>0</v>
      </c>
      <c r="AG33" s="28">
        <f t="shared" si="9"/>
        <v>0</v>
      </c>
      <c r="AH33" s="28">
        <f t="shared" si="10"/>
        <v>0</v>
      </c>
      <c r="AI33" s="39" t="s">
        <v>119</v>
      </c>
      <c r="AJ33" s="28">
        <f t="shared" si="11"/>
        <v>0</v>
      </c>
      <c r="AK33" s="28">
        <f t="shared" si="12"/>
        <v>0</v>
      </c>
      <c r="AL33" s="28">
        <f t="shared" si="13"/>
        <v>0</v>
      </c>
      <c r="AN33" s="28">
        <v>21</v>
      </c>
      <c r="AO33" s="28">
        <f>G33*0.323171641791045</f>
        <v>0</v>
      </c>
      <c r="AP33" s="28">
        <f>G33*(1-0.323171641791045)</f>
        <v>0</v>
      </c>
      <c r="AQ33" s="21" t="s">
        <v>173</v>
      </c>
      <c r="AV33" s="28">
        <f t="shared" si="14"/>
        <v>0</v>
      </c>
      <c r="AW33" s="28">
        <f t="shared" si="15"/>
        <v>0</v>
      </c>
      <c r="AX33" s="28">
        <f t="shared" si="16"/>
        <v>0</v>
      </c>
      <c r="AY33" s="21" t="s">
        <v>87</v>
      </c>
      <c r="AZ33" s="21" t="s">
        <v>10</v>
      </c>
      <c r="BA33" s="39" t="s">
        <v>135</v>
      </c>
      <c r="BC33" s="28">
        <f t="shared" si="17"/>
        <v>0</v>
      </c>
      <c r="BD33" s="28">
        <f t="shared" si="18"/>
        <v>0</v>
      </c>
      <c r="BE33" s="28">
        <v>0</v>
      </c>
      <c r="BF33" s="28">
        <f>33</f>
        <v>33</v>
      </c>
      <c r="BH33" s="28">
        <f t="shared" si="19"/>
        <v>0</v>
      </c>
      <c r="BI33" s="28">
        <f t="shared" si="20"/>
        <v>0</v>
      </c>
      <c r="BJ33" s="28">
        <f t="shared" si="21"/>
        <v>0</v>
      </c>
      <c r="BK33" s="28"/>
      <c r="BL33" s="28">
        <v>723</v>
      </c>
      <c r="BW33" s="28">
        <v>21</v>
      </c>
    </row>
    <row r="34" spans="1:75" ht="27" customHeight="1">
      <c r="A34" s="18" t="s">
        <v>166</v>
      </c>
      <c r="B34" s="2" t="s">
        <v>25</v>
      </c>
      <c r="C34" s="74" t="s">
        <v>132</v>
      </c>
      <c r="D34" s="69"/>
      <c r="E34" s="2" t="s">
        <v>45</v>
      </c>
      <c r="F34" s="28">
        <v>2</v>
      </c>
      <c r="G34" s="61">
        <v>0</v>
      </c>
      <c r="H34" s="28">
        <f t="shared" si="0"/>
        <v>0</v>
      </c>
      <c r="I34" s="28">
        <f t="shared" si="1"/>
        <v>0</v>
      </c>
      <c r="J34" s="28">
        <f t="shared" si="2"/>
        <v>0</v>
      </c>
      <c r="K34" s="21" t="s">
        <v>85</v>
      </c>
      <c r="L34" s="11"/>
      <c r="Z34" s="28">
        <f t="shared" si="3"/>
        <v>0</v>
      </c>
      <c r="AB34" s="28">
        <f t="shared" si="4"/>
        <v>0</v>
      </c>
      <c r="AC34" s="28">
        <f t="shared" si="5"/>
        <v>0</v>
      </c>
      <c r="AD34" s="28">
        <f t="shared" si="6"/>
        <v>0</v>
      </c>
      <c r="AE34" s="28">
        <f t="shared" si="7"/>
        <v>0</v>
      </c>
      <c r="AF34" s="28">
        <f t="shared" si="8"/>
        <v>0</v>
      </c>
      <c r="AG34" s="28">
        <f t="shared" si="9"/>
        <v>0</v>
      </c>
      <c r="AH34" s="28">
        <f t="shared" si="10"/>
        <v>0</v>
      </c>
      <c r="AI34" s="39" t="s">
        <v>119</v>
      </c>
      <c r="AJ34" s="28">
        <f t="shared" si="11"/>
        <v>0</v>
      </c>
      <c r="AK34" s="28">
        <f t="shared" si="12"/>
        <v>0</v>
      </c>
      <c r="AL34" s="28">
        <f t="shared" si="13"/>
        <v>0</v>
      </c>
      <c r="AN34" s="28">
        <v>21</v>
      </c>
      <c r="AO34" s="28">
        <f>G34*0.511704689480355</f>
        <v>0</v>
      </c>
      <c r="AP34" s="28">
        <f>G34*(1-0.511704689480355)</f>
        <v>0</v>
      </c>
      <c r="AQ34" s="21" t="s">
        <v>173</v>
      </c>
      <c r="AV34" s="28">
        <f t="shared" si="14"/>
        <v>0</v>
      </c>
      <c r="AW34" s="28">
        <f t="shared" si="15"/>
        <v>0</v>
      </c>
      <c r="AX34" s="28">
        <f t="shared" si="16"/>
        <v>0</v>
      </c>
      <c r="AY34" s="21" t="s">
        <v>87</v>
      </c>
      <c r="AZ34" s="21" t="s">
        <v>10</v>
      </c>
      <c r="BA34" s="39" t="s">
        <v>135</v>
      </c>
      <c r="BC34" s="28">
        <f t="shared" si="17"/>
        <v>0</v>
      </c>
      <c r="BD34" s="28">
        <f t="shared" si="18"/>
        <v>0</v>
      </c>
      <c r="BE34" s="28">
        <v>0</v>
      </c>
      <c r="BF34" s="28">
        <f>34</f>
        <v>34</v>
      </c>
      <c r="BH34" s="28">
        <f t="shared" si="19"/>
        <v>0</v>
      </c>
      <c r="BI34" s="28">
        <f t="shared" si="20"/>
        <v>0</v>
      </c>
      <c r="BJ34" s="28">
        <f t="shared" si="21"/>
        <v>0</v>
      </c>
      <c r="BK34" s="28"/>
      <c r="BL34" s="28">
        <v>723</v>
      </c>
      <c r="BW34" s="28">
        <v>21</v>
      </c>
    </row>
    <row r="35" spans="1:75" ht="13.5" customHeight="1">
      <c r="A35" s="41" t="s">
        <v>84</v>
      </c>
      <c r="B35" s="5" t="s">
        <v>88</v>
      </c>
      <c r="C35" s="91" t="s">
        <v>39</v>
      </c>
      <c r="D35" s="92"/>
      <c r="E35" s="5" t="s">
        <v>136</v>
      </c>
      <c r="F35" s="32">
        <v>1</v>
      </c>
      <c r="G35" s="61">
        <v>0</v>
      </c>
      <c r="H35" s="32">
        <f t="shared" si="0"/>
        <v>0</v>
      </c>
      <c r="I35" s="32">
        <f t="shared" si="1"/>
        <v>0</v>
      </c>
      <c r="J35" s="32">
        <f t="shared" si="2"/>
        <v>0</v>
      </c>
      <c r="K35" s="52" t="s">
        <v>119</v>
      </c>
      <c r="L35" s="11"/>
      <c r="Z35" s="28">
        <f t="shared" si="3"/>
        <v>0</v>
      </c>
      <c r="AB35" s="28">
        <f t="shared" si="4"/>
        <v>0</v>
      </c>
      <c r="AC35" s="28">
        <f t="shared" si="5"/>
        <v>0</v>
      </c>
      <c r="AD35" s="28">
        <f t="shared" si="6"/>
        <v>0</v>
      </c>
      <c r="AE35" s="28">
        <f t="shared" si="7"/>
        <v>0</v>
      </c>
      <c r="AF35" s="28">
        <f t="shared" si="8"/>
        <v>0</v>
      </c>
      <c r="AG35" s="28">
        <f t="shared" si="9"/>
        <v>0</v>
      </c>
      <c r="AH35" s="28">
        <f t="shared" si="10"/>
        <v>0</v>
      </c>
      <c r="AI35" s="39" t="s">
        <v>119</v>
      </c>
      <c r="AJ35" s="28">
        <f t="shared" si="11"/>
        <v>0</v>
      </c>
      <c r="AK35" s="28">
        <f t="shared" si="12"/>
        <v>0</v>
      </c>
      <c r="AL35" s="28">
        <f t="shared" si="13"/>
        <v>0</v>
      </c>
      <c r="AN35" s="28">
        <v>21</v>
      </c>
      <c r="AO35" s="28">
        <f>G35*0</f>
        <v>0</v>
      </c>
      <c r="AP35" s="28">
        <f>G35*(1-0)</f>
        <v>0</v>
      </c>
      <c r="AQ35" s="21" t="s">
        <v>173</v>
      </c>
      <c r="AV35" s="28">
        <f t="shared" si="14"/>
        <v>0</v>
      </c>
      <c r="AW35" s="28">
        <f t="shared" si="15"/>
        <v>0</v>
      </c>
      <c r="AX35" s="28">
        <f t="shared" si="16"/>
        <v>0</v>
      </c>
      <c r="AY35" s="21" t="s">
        <v>87</v>
      </c>
      <c r="AZ35" s="21" t="s">
        <v>10</v>
      </c>
      <c r="BA35" s="39" t="s">
        <v>135</v>
      </c>
      <c r="BC35" s="28">
        <f t="shared" si="17"/>
        <v>0</v>
      </c>
      <c r="BD35" s="28">
        <f t="shared" si="18"/>
        <v>0</v>
      </c>
      <c r="BE35" s="28">
        <v>0</v>
      </c>
      <c r="BF35" s="28">
        <f>35</f>
        <v>35</v>
      </c>
      <c r="BH35" s="28">
        <f t="shared" si="19"/>
        <v>0</v>
      </c>
      <c r="BI35" s="28">
        <f t="shared" si="20"/>
        <v>0</v>
      </c>
      <c r="BJ35" s="28">
        <f t="shared" si="21"/>
        <v>0</v>
      </c>
      <c r="BK35" s="28"/>
      <c r="BL35" s="28">
        <v>723</v>
      </c>
      <c r="BW35" s="28">
        <v>21</v>
      </c>
    </row>
    <row r="36" spans="1:75" ht="13.5" customHeight="1">
      <c r="A36" s="51" t="s">
        <v>18</v>
      </c>
      <c r="B36" s="37" t="s">
        <v>96</v>
      </c>
      <c r="C36" s="91" t="s">
        <v>146</v>
      </c>
      <c r="D36" s="92"/>
      <c r="E36" s="37" t="s">
        <v>45</v>
      </c>
      <c r="F36" s="24">
        <v>1</v>
      </c>
      <c r="G36" s="61">
        <v>0</v>
      </c>
      <c r="H36" s="24">
        <f t="shared" si="0"/>
        <v>0</v>
      </c>
      <c r="I36" s="24">
        <f t="shared" si="1"/>
        <v>0</v>
      </c>
      <c r="J36" s="24">
        <f t="shared" si="2"/>
        <v>0</v>
      </c>
      <c r="K36" s="6" t="s">
        <v>85</v>
      </c>
      <c r="L36" s="11"/>
      <c r="Z36" s="28">
        <f t="shared" si="3"/>
        <v>0</v>
      </c>
      <c r="AB36" s="28">
        <f t="shared" si="4"/>
        <v>0</v>
      </c>
      <c r="AC36" s="28">
        <f t="shared" si="5"/>
        <v>0</v>
      </c>
      <c r="AD36" s="28">
        <f t="shared" si="6"/>
        <v>0</v>
      </c>
      <c r="AE36" s="28">
        <f t="shared" si="7"/>
        <v>0</v>
      </c>
      <c r="AF36" s="28">
        <f t="shared" si="8"/>
        <v>0</v>
      </c>
      <c r="AG36" s="28">
        <f t="shared" si="9"/>
        <v>0</v>
      </c>
      <c r="AH36" s="28">
        <f t="shared" si="10"/>
        <v>0</v>
      </c>
      <c r="AI36" s="39" t="s">
        <v>119</v>
      </c>
      <c r="AJ36" s="28">
        <f t="shared" si="11"/>
        <v>0</v>
      </c>
      <c r="AK36" s="28">
        <f t="shared" si="12"/>
        <v>0</v>
      </c>
      <c r="AL36" s="28">
        <f t="shared" si="13"/>
        <v>0</v>
      </c>
      <c r="AN36" s="28">
        <v>21</v>
      </c>
      <c r="AO36" s="28">
        <f>G36*0</f>
        <v>0</v>
      </c>
      <c r="AP36" s="28">
        <f>G36*(1-0)</f>
        <v>0</v>
      </c>
      <c r="AQ36" s="21" t="s">
        <v>173</v>
      </c>
      <c r="AV36" s="28">
        <f t="shared" si="14"/>
        <v>0</v>
      </c>
      <c r="AW36" s="28">
        <f t="shared" si="15"/>
        <v>0</v>
      </c>
      <c r="AX36" s="28">
        <f t="shared" si="16"/>
        <v>0</v>
      </c>
      <c r="AY36" s="21" t="s">
        <v>87</v>
      </c>
      <c r="AZ36" s="21" t="s">
        <v>10</v>
      </c>
      <c r="BA36" s="39" t="s">
        <v>135</v>
      </c>
      <c r="BC36" s="28">
        <f t="shared" si="17"/>
        <v>0</v>
      </c>
      <c r="BD36" s="28">
        <f t="shared" si="18"/>
        <v>0</v>
      </c>
      <c r="BE36" s="28">
        <v>0</v>
      </c>
      <c r="BF36" s="28">
        <f>36</f>
        <v>36</v>
      </c>
      <c r="BH36" s="28">
        <f t="shared" si="19"/>
        <v>0</v>
      </c>
      <c r="BI36" s="28">
        <f t="shared" si="20"/>
        <v>0</v>
      </c>
      <c r="BJ36" s="28">
        <f t="shared" si="21"/>
        <v>0</v>
      </c>
      <c r="BK36" s="28"/>
      <c r="BL36" s="28">
        <v>723</v>
      </c>
      <c r="BW36" s="28">
        <v>21</v>
      </c>
    </row>
    <row r="37" spans="1:75" ht="27" customHeight="1">
      <c r="A37" s="47" t="s">
        <v>44</v>
      </c>
      <c r="B37" s="9" t="s">
        <v>101</v>
      </c>
      <c r="C37" s="93" t="s">
        <v>185</v>
      </c>
      <c r="D37" s="94"/>
      <c r="E37" s="9" t="s">
        <v>86</v>
      </c>
      <c r="F37" s="57">
        <v>0.16953</v>
      </c>
      <c r="G37" s="62">
        <v>0</v>
      </c>
      <c r="H37" s="57">
        <f t="shared" si="0"/>
        <v>0</v>
      </c>
      <c r="I37" s="57">
        <f t="shared" si="1"/>
        <v>0</v>
      </c>
      <c r="J37" s="57">
        <f t="shared" si="2"/>
        <v>0</v>
      </c>
      <c r="K37" s="22" t="s">
        <v>85</v>
      </c>
      <c r="L37" s="15"/>
      <c r="Z37" s="28">
        <f t="shared" si="3"/>
        <v>0</v>
      </c>
      <c r="AB37" s="28">
        <f t="shared" si="4"/>
        <v>0</v>
      </c>
      <c r="AC37" s="28">
        <f t="shared" si="5"/>
        <v>0</v>
      </c>
      <c r="AD37" s="28">
        <f t="shared" si="6"/>
        <v>0</v>
      </c>
      <c r="AE37" s="28">
        <f t="shared" si="7"/>
        <v>0</v>
      </c>
      <c r="AF37" s="28">
        <f t="shared" si="8"/>
        <v>0</v>
      </c>
      <c r="AG37" s="28">
        <f t="shared" si="9"/>
        <v>0</v>
      </c>
      <c r="AH37" s="28">
        <f t="shared" si="10"/>
        <v>0</v>
      </c>
      <c r="AI37" s="39" t="s">
        <v>119</v>
      </c>
      <c r="AJ37" s="28">
        <f t="shared" si="11"/>
        <v>0</v>
      </c>
      <c r="AK37" s="28">
        <f t="shared" si="12"/>
        <v>0</v>
      </c>
      <c r="AL37" s="28">
        <f t="shared" si="13"/>
        <v>0</v>
      </c>
      <c r="AN37" s="28">
        <v>21</v>
      </c>
      <c r="AO37" s="28">
        <f>G37*0</f>
        <v>0</v>
      </c>
      <c r="AP37" s="28">
        <f>G37*(1-0)</f>
        <v>0</v>
      </c>
      <c r="AQ37" s="21" t="s">
        <v>95</v>
      </c>
      <c r="AV37" s="28">
        <f t="shared" si="14"/>
        <v>0</v>
      </c>
      <c r="AW37" s="28">
        <f t="shared" si="15"/>
        <v>0</v>
      </c>
      <c r="AX37" s="28">
        <f t="shared" si="16"/>
        <v>0</v>
      </c>
      <c r="AY37" s="21" t="s">
        <v>87</v>
      </c>
      <c r="AZ37" s="21" t="s">
        <v>10</v>
      </c>
      <c r="BA37" s="39" t="s">
        <v>135</v>
      </c>
      <c r="BC37" s="28">
        <f t="shared" si="17"/>
        <v>0</v>
      </c>
      <c r="BD37" s="28">
        <f t="shared" si="18"/>
        <v>0</v>
      </c>
      <c r="BE37" s="28">
        <v>0</v>
      </c>
      <c r="BF37" s="28">
        <f>37</f>
        <v>37</v>
      </c>
      <c r="BH37" s="28">
        <f t="shared" si="19"/>
        <v>0</v>
      </c>
      <c r="BI37" s="28">
        <f t="shared" si="20"/>
        <v>0</v>
      </c>
      <c r="BJ37" s="28">
        <f t="shared" si="21"/>
        <v>0</v>
      </c>
      <c r="BK37" s="28"/>
      <c r="BL37" s="28">
        <v>723</v>
      </c>
      <c r="BW37" s="28">
        <v>21</v>
      </c>
    </row>
    <row r="38" spans="8:10" ht="15" customHeight="1">
      <c r="H38" s="83" t="s">
        <v>141</v>
      </c>
      <c r="I38" s="83"/>
      <c r="J38" s="49">
        <f>J12</f>
        <v>0</v>
      </c>
    </row>
    <row r="39" ht="15" customHeight="1">
      <c r="A39" s="25" t="s">
        <v>14</v>
      </c>
    </row>
    <row r="40" spans="1:12" ht="12.75" customHeight="1">
      <c r="A40" s="74" t="s">
        <v>119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sheetProtection/>
  <mergeCells count="56">
    <mergeCell ref="C34:D34"/>
    <mergeCell ref="C35:D35"/>
    <mergeCell ref="C36:D36"/>
    <mergeCell ref="C37:D37"/>
    <mergeCell ref="H38:I38"/>
    <mergeCell ref="A40:L40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1:D11"/>
    <mergeCell ref="H10:J10"/>
    <mergeCell ref="C12:D12"/>
    <mergeCell ref="C13:D13"/>
    <mergeCell ref="C14:D14"/>
    <mergeCell ref="C15:D15"/>
    <mergeCell ref="K2:L3"/>
    <mergeCell ref="K4:L5"/>
    <mergeCell ref="K6:L7"/>
    <mergeCell ref="K8:L9"/>
    <mergeCell ref="C10:D10"/>
    <mergeCell ref="J4:J5"/>
    <mergeCell ref="J6:J7"/>
    <mergeCell ref="J8:J9"/>
    <mergeCell ref="C2:F3"/>
    <mergeCell ref="C4:F5"/>
    <mergeCell ref="C6:F7"/>
    <mergeCell ref="C8:F9"/>
    <mergeCell ref="I2:I3"/>
    <mergeCell ref="I4:I5"/>
    <mergeCell ref="I6:I7"/>
    <mergeCell ref="I8:I9"/>
    <mergeCell ref="A1:L1"/>
    <mergeCell ref="A2:B3"/>
    <mergeCell ref="A4:B5"/>
    <mergeCell ref="A6:B7"/>
    <mergeCell ref="A8:B9"/>
    <mergeCell ref="G2:H3"/>
    <mergeCell ref="G4:H5"/>
    <mergeCell ref="G6:H7"/>
    <mergeCell ref="G8:H9"/>
    <mergeCell ref="J2:J3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C4" sqref="C4:D5"/>
    </sheetView>
  </sheetViews>
  <sheetFormatPr defaultColWidth="17" defaultRowHeight="15" customHeight="1"/>
  <cols>
    <col min="1" max="1" width="12.796875" style="0" customWidth="1"/>
    <col min="2" max="2" width="18" style="0" customWidth="1"/>
    <col min="3" max="3" width="38" style="0" customWidth="1"/>
    <col min="4" max="4" width="14" style="0" customWidth="1"/>
    <col min="5" max="5" width="19.59765625" style="0" customWidth="1"/>
    <col min="6" max="6" width="38" style="0" customWidth="1"/>
    <col min="7" max="7" width="12.796875" style="0" customWidth="1"/>
    <col min="8" max="8" width="18" style="0" customWidth="1"/>
    <col min="9" max="9" width="38" style="0" customWidth="1"/>
  </cols>
  <sheetData>
    <row r="1" spans="1:9" ht="54.75" customHeight="1">
      <c r="A1" s="95" t="s">
        <v>42</v>
      </c>
      <c r="B1" s="65"/>
      <c r="C1" s="65"/>
      <c r="D1" s="65"/>
      <c r="E1" s="65"/>
      <c r="F1" s="65"/>
      <c r="G1" s="65"/>
      <c r="H1" s="65"/>
      <c r="I1" s="65"/>
    </row>
    <row r="2" spans="1:9" ht="15" customHeight="1">
      <c r="A2" s="66" t="s">
        <v>11</v>
      </c>
      <c r="B2" s="67"/>
      <c r="C2" s="81" t="str">
        <f>'Vykaz vymer plyn'!C2</f>
        <v>12. ZŠ  Mikoláše  Alše  558  Zlín,  Podhoří</v>
      </c>
      <c r="D2" s="82"/>
      <c r="E2" s="71" t="s">
        <v>149</v>
      </c>
      <c r="F2" s="71" t="str">
        <f>'Vykaz vymer plyn'!K2</f>
        <v>STATUTÁRNÍ MĚSTO ZLÍN</v>
      </c>
      <c r="G2" s="67"/>
      <c r="H2" s="71" t="s">
        <v>109</v>
      </c>
      <c r="I2" s="76" t="s">
        <v>119</v>
      </c>
    </row>
    <row r="3" spans="1:9" ht="15" customHeight="1">
      <c r="A3" s="68"/>
      <c r="B3" s="69"/>
      <c r="C3" s="83"/>
      <c r="D3" s="83"/>
      <c r="E3" s="69"/>
      <c r="F3" s="69"/>
      <c r="G3" s="69"/>
      <c r="H3" s="69"/>
      <c r="I3" s="77"/>
    </row>
    <row r="4" spans="1:9" ht="15" customHeight="1">
      <c r="A4" s="70" t="s">
        <v>97</v>
      </c>
      <c r="B4" s="69"/>
      <c r="C4" s="72" t="str">
        <f>'Vykaz vymer plyn'!C4</f>
        <v>REKONSTRUKCE PLYNOVÉ KOTELNY - vnitřní plynoinstalace</v>
      </c>
      <c r="D4" s="73"/>
      <c r="E4" s="74" t="s">
        <v>118</v>
      </c>
      <c r="F4" s="74" t="str">
        <f>'Vykaz vymer plyn'!K4</f>
        <v>ing. Rudolf Ženožička</v>
      </c>
      <c r="G4" s="69"/>
      <c r="H4" s="74" t="s">
        <v>109</v>
      </c>
      <c r="I4" s="77" t="s">
        <v>119</v>
      </c>
    </row>
    <row r="5" spans="1:9" ht="15" customHeight="1">
      <c r="A5" s="68"/>
      <c r="B5" s="69"/>
      <c r="C5" s="73"/>
      <c r="D5" s="73"/>
      <c r="E5" s="69"/>
      <c r="F5" s="69"/>
      <c r="G5" s="69"/>
      <c r="H5" s="69"/>
      <c r="I5" s="77"/>
    </row>
    <row r="6" spans="1:9" ht="15" customHeight="1">
      <c r="A6" s="70" t="s">
        <v>15</v>
      </c>
      <c r="B6" s="69"/>
      <c r="C6" s="74" t="str">
        <f>'Vykaz vymer plyn'!C6</f>
        <v> </v>
      </c>
      <c r="D6" s="69"/>
      <c r="E6" s="74" t="s">
        <v>155</v>
      </c>
      <c r="F6" s="74" t="str">
        <f>'Vykaz vymer plyn'!K6</f>
        <v>THERMPROJEKT s.r.o. Zlín</v>
      </c>
      <c r="G6" s="69"/>
      <c r="H6" s="74" t="s">
        <v>109</v>
      </c>
      <c r="I6" s="77" t="s">
        <v>119</v>
      </c>
    </row>
    <row r="7" spans="1:9" ht="15" customHeight="1">
      <c r="A7" s="68"/>
      <c r="B7" s="69"/>
      <c r="C7" s="69"/>
      <c r="D7" s="69"/>
      <c r="E7" s="69"/>
      <c r="F7" s="69"/>
      <c r="G7" s="69"/>
      <c r="H7" s="69"/>
      <c r="I7" s="77"/>
    </row>
    <row r="8" spans="1:9" ht="15" customHeight="1">
      <c r="A8" s="70" t="s">
        <v>157</v>
      </c>
      <c r="B8" s="69"/>
      <c r="C8" s="74" t="str">
        <f>'Vykaz vymer plyn'!I4</f>
        <v>01.07.2024</v>
      </c>
      <c r="D8" s="69"/>
      <c r="E8" s="74" t="s">
        <v>56</v>
      </c>
      <c r="F8" s="74" t="str">
        <f>'Vykaz vymer plyn'!I6</f>
        <v>31.08.2024</v>
      </c>
      <c r="G8" s="69"/>
      <c r="H8" s="69" t="s">
        <v>175</v>
      </c>
      <c r="I8" s="98">
        <v>25</v>
      </c>
    </row>
    <row r="9" spans="1:9" ht="15" customHeight="1">
      <c r="A9" s="68"/>
      <c r="B9" s="69"/>
      <c r="C9" s="69"/>
      <c r="D9" s="69"/>
      <c r="E9" s="69"/>
      <c r="F9" s="69"/>
      <c r="G9" s="69"/>
      <c r="H9" s="69"/>
      <c r="I9" s="77"/>
    </row>
    <row r="10" spans="1:9" ht="15" customHeight="1">
      <c r="A10" s="70" t="s">
        <v>90</v>
      </c>
      <c r="B10" s="69"/>
      <c r="C10" s="74" t="str">
        <f>'Vykaz vymer plyn'!C8</f>
        <v> </v>
      </c>
      <c r="D10" s="69"/>
      <c r="E10" s="74" t="s">
        <v>113</v>
      </c>
      <c r="F10" s="74" t="str">
        <f>'Vykaz vymer plyn'!K8</f>
        <v>ing. Ženožička</v>
      </c>
      <c r="G10" s="69"/>
      <c r="H10" s="69" t="s">
        <v>169</v>
      </c>
      <c r="I10" s="99" t="str">
        <f>'Vykaz vymer plyn'!I8</f>
        <v>05.01.2024</v>
      </c>
    </row>
    <row r="11" spans="1:9" ht="15" customHeight="1">
      <c r="A11" s="96"/>
      <c r="B11" s="97"/>
      <c r="C11" s="97"/>
      <c r="D11" s="97"/>
      <c r="E11" s="97"/>
      <c r="F11" s="97"/>
      <c r="G11" s="97"/>
      <c r="H11" s="97"/>
      <c r="I11" s="78"/>
    </row>
    <row r="12" spans="1:9" ht="22.5" customHeight="1">
      <c r="A12" s="100" t="s">
        <v>32</v>
      </c>
      <c r="B12" s="100"/>
      <c r="C12" s="100"/>
      <c r="D12" s="100"/>
      <c r="E12" s="100"/>
      <c r="F12" s="100"/>
      <c r="G12" s="100"/>
      <c r="H12" s="100"/>
      <c r="I12" s="100"/>
    </row>
    <row r="13" spans="1:9" ht="26.25" customHeight="1">
      <c r="A13" s="42" t="s">
        <v>158</v>
      </c>
      <c r="B13" s="101" t="s">
        <v>27</v>
      </c>
      <c r="C13" s="102"/>
      <c r="D13" s="44" t="s">
        <v>33</v>
      </c>
      <c r="E13" s="101" t="s">
        <v>68</v>
      </c>
      <c r="F13" s="102"/>
      <c r="G13" s="44" t="s">
        <v>107</v>
      </c>
      <c r="H13" s="101" t="s">
        <v>34</v>
      </c>
      <c r="I13" s="102"/>
    </row>
    <row r="14" spans="1:9" ht="15" customHeight="1">
      <c r="A14" s="27" t="s">
        <v>71</v>
      </c>
      <c r="B14" s="13" t="s">
        <v>46</v>
      </c>
      <c r="C14" s="35">
        <f>SUM('Vykaz vymer plyn'!AB12:AB37)</f>
        <v>0</v>
      </c>
      <c r="D14" s="109" t="s">
        <v>125</v>
      </c>
      <c r="E14" s="110"/>
      <c r="F14" s="35">
        <f>VORN!I15</f>
        <v>0</v>
      </c>
      <c r="G14" s="109" t="s">
        <v>23</v>
      </c>
      <c r="H14" s="110"/>
      <c r="I14" s="14">
        <f>VORN!I21</f>
        <v>0</v>
      </c>
    </row>
    <row r="15" spans="1:9" ht="15" customHeight="1">
      <c r="A15" s="58" t="s">
        <v>119</v>
      </c>
      <c r="B15" s="13" t="s">
        <v>36</v>
      </c>
      <c r="C15" s="35">
        <f>SUM('Vykaz vymer plyn'!AC12:AC37)</f>
        <v>0</v>
      </c>
      <c r="D15" s="109" t="s">
        <v>19</v>
      </c>
      <c r="E15" s="110"/>
      <c r="F15" s="35">
        <f>VORN!I16</f>
        <v>0</v>
      </c>
      <c r="G15" s="109" t="s">
        <v>142</v>
      </c>
      <c r="H15" s="110"/>
      <c r="I15" s="14">
        <f>VORN!I22</f>
        <v>0</v>
      </c>
    </row>
    <row r="16" spans="1:9" ht="15" customHeight="1">
      <c r="A16" s="27" t="s">
        <v>17</v>
      </c>
      <c r="B16" s="13" t="s">
        <v>46</v>
      </c>
      <c r="C16" s="35">
        <f>SUM('Vykaz vymer plyn'!AD12:AD37)</f>
        <v>0</v>
      </c>
      <c r="D16" s="109" t="s">
        <v>130</v>
      </c>
      <c r="E16" s="110"/>
      <c r="F16" s="35">
        <f>VORN!I17</f>
        <v>0</v>
      </c>
      <c r="G16" s="109" t="s">
        <v>167</v>
      </c>
      <c r="H16" s="110"/>
      <c r="I16" s="14">
        <f>VORN!I23</f>
        <v>0</v>
      </c>
    </row>
    <row r="17" spans="1:9" ht="15" customHeight="1">
      <c r="A17" s="58" t="s">
        <v>119</v>
      </c>
      <c r="B17" s="13" t="s">
        <v>36</v>
      </c>
      <c r="C17" s="35">
        <f>SUM('Vykaz vymer plyn'!AE12:AE37)</f>
        <v>0</v>
      </c>
      <c r="D17" s="109" t="s">
        <v>119</v>
      </c>
      <c r="E17" s="110"/>
      <c r="F17" s="14" t="s">
        <v>119</v>
      </c>
      <c r="G17" s="109" t="s">
        <v>94</v>
      </c>
      <c r="H17" s="110"/>
      <c r="I17" s="14">
        <f>VORN!I24</f>
        <v>0</v>
      </c>
    </row>
    <row r="18" spans="1:9" ht="15" customHeight="1">
      <c r="A18" s="27" t="s">
        <v>53</v>
      </c>
      <c r="B18" s="13" t="s">
        <v>46</v>
      </c>
      <c r="C18" s="35">
        <f>SUM('Vykaz vymer plyn'!AF12:AF37)</f>
        <v>0</v>
      </c>
      <c r="D18" s="109" t="s">
        <v>119</v>
      </c>
      <c r="E18" s="110"/>
      <c r="F18" s="14" t="s">
        <v>119</v>
      </c>
      <c r="G18" s="109" t="s">
        <v>110</v>
      </c>
      <c r="H18" s="110"/>
      <c r="I18" s="14">
        <f>VORN!I25</f>
        <v>0</v>
      </c>
    </row>
    <row r="19" spans="1:9" ht="15" customHeight="1">
      <c r="A19" s="58" t="s">
        <v>119</v>
      </c>
      <c r="B19" s="13" t="s">
        <v>36</v>
      </c>
      <c r="C19" s="35">
        <f>SUM('Vykaz vymer plyn'!AG12:AG37)</f>
        <v>0</v>
      </c>
      <c r="D19" s="109" t="s">
        <v>119</v>
      </c>
      <c r="E19" s="110"/>
      <c r="F19" s="14" t="s">
        <v>119</v>
      </c>
      <c r="G19" s="109" t="s">
        <v>171</v>
      </c>
      <c r="H19" s="110"/>
      <c r="I19" s="14">
        <f>VORN!I26</f>
        <v>0</v>
      </c>
    </row>
    <row r="20" spans="1:9" ht="15" customHeight="1">
      <c r="A20" s="103" t="s">
        <v>12</v>
      </c>
      <c r="B20" s="104"/>
      <c r="C20" s="35">
        <f>SUM('Vykaz vymer plyn'!AH12:AH37)</f>
        <v>0</v>
      </c>
      <c r="D20" s="109" t="s">
        <v>119</v>
      </c>
      <c r="E20" s="110"/>
      <c r="F20" s="14" t="s">
        <v>119</v>
      </c>
      <c r="G20" s="109" t="s">
        <v>119</v>
      </c>
      <c r="H20" s="110"/>
      <c r="I20" s="14" t="s">
        <v>119</v>
      </c>
    </row>
    <row r="21" spans="1:9" ht="15" customHeight="1">
      <c r="A21" s="105" t="s">
        <v>170</v>
      </c>
      <c r="B21" s="106"/>
      <c r="C21" s="55">
        <f>SUM('Vykaz vymer plyn'!Z12:Z37)</f>
        <v>0</v>
      </c>
      <c r="D21" s="111" t="s">
        <v>119</v>
      </c>
      <c r="E21" s="112"/>
      <c r="F21" s="1" t="s">
        <v>119</v>
      </c>
      <c r="G21" s="111" t="s">
        <v>119</v>
      </c>
      <c r="H21" s="112"/>
      <c r="I21" s="1" t="s">
        <v>119</v>
      </c>
    </row>
    <row r="22" spans="1:9" ht="16.5" customHeight="1">
      <c r="A22" s="107" t="s">
        <v>38</v>
      </c>
      <c r="B22" s="108"/>
      <c r="C22" s="63">
        <f>SUM(C14:C21)</f>
        <v>0</v>
      </c>
      <c r="D22" s="113" t="s">
        <v>92</v>
      </c>
      <c r="E22" s="108"/>
      <c r="F22" s="16">
        <f>SUM(F14:F21)</f>
        <v>0</v>
      </c>
      <c r="G22" s="113" t="s">
        <v>176</v>
      </c>
      <c r="H22" s="108"/>
      <c r="I22" s="16">
        <f>SUM(I14:I21)</f>
        <v>0</v>
      </c>
    </row>
    <row r="23" spans="4:9" ht="15" customHeight="1">
      <c r="D23" s="103" t="s">
        <v>145</v>
      </c>
      <c r="E23" s="104"/>
      <c r="F23" s="8">
        <v>0</v>
      </c>
      <c r="G23" s="114" t="s">
        <v>9</v>
      </c>
      <c r="H23" s="104"/>
      <c r="I23" s="35">
        <v>0</v>
      </c>
    </row>
    <row r="24" spans="7:9" ht="15" customHeight="1">
      <c r="G24" s="103" t="s">
        <v>104</v>
      </c>
      <c r="H24" s="104"/>
      <c r="I24" s="55">
        <f>vorn_sum</f>
        <v>0</v>
      </c>
    </row>
    <row r="25" spans="7:9" ht="15" customHeight="1">
      <c r="G25" s="103" t="s">
        <v>54</v>
      </c>
      <c r="H25" s="104"/>
      <c r="I25" s="16">
        <v>0</v>
      </c>
    </row>
    <row r="27" spans="1:3" ht="15" customHeight="1">
      <c r="A27" s="115" t="s">
        <v>78</v>
      </c>
      <c r="B27" s="116"/>
      <c r="C27" s="56">
        <f>SUM('Vykaz vymer plyn'!AJ12:AJ37)</f>
        <v>0</v>
      </c>
    </row>
    <row r="28" spans="1:9" ht="15" customHeight="1">
      <c r="A28" s="117" t="s">
        <v>2</v>
      </c>
      <c r="B28" s="118"/>
      <c r="C28" s="33">
        <f>SUM('Vykaz vymer plyn'!AK12:AK37)</f>
        <v>0</v>
      </c>
      <c r="D28" s="116" t="s">
        <v>41</v>
      </c>
      <c r="E28" s="116"/>
      <c r="F28" s="56">
        <f>ROUND(C28*(15/100),2)</f>
        <v>0</v>
      </c>
      <c r="G28" s="116" t="s">
        <v>29</v>
      </c>
      <c r="H28" s="116"/>
      <c r="I28" s="56">
        <f>SUM(C27:C29)</f>
        <v>0</v>
      </c>
    </row>
    <row r="29" spans="1:9" ht="15" customHeight="1">
      <c r="A29" s="117" t="s">
        <v>6</v>
      </c>
      <c r="B29" s="118"/>
      <c r="C29" s="33">
        <f>SUM('Vykaz vymer plyn'!AL12:AL37)+(F22+I22+F23+I23+I24+I25)</f>
        <v>0</v>
      </c>
      <c r="D29" s="118" t="s">
        <v>131</v>
      </c>
      <c r="E29" s="118"/>
      <c r="F29" s="33">
        <f>ROUND(C29*(21/100),2)</f>
        <v>0</v>
      </c>
      <c r="G29" s="118" t="s">
        <v>76</v>
      </c>
      <c r="H29" s="118"/>
      <c r="I29" s="33">
        <f>SUM(F28:F29)+I28</f>
        <v>0</v>
      </c>
    </row>
    <row r="31" spans="1:9" ht="15" customHeight="1">
      <c r="A31" s="125" t="s">
        <v>1</v>
      </c>
      <c r="B31" s="122"/>
      <c r="C31" s="123"/>
      <c r="D31" s="122" t="s">
        <v>163</v>
      </c>
      <c r="E31" s="122"/>
      <c r="F31" s="123"/>
      <c r="G31" s="122" t="s">
        <v>115</v>
      </c>
      <c r="H31" s="122"/>
      <c r="I31" s="123"/>
    </row>
    <row r="32" spans="1:9" ht="15" customHeight="1">
      <c r="A32" s="126" t="s">
        <v>119</v>
      </c>
      <c r="B32" s="111"/>
      <c r="C32" s="124"/>
      <c r="D32" s="111" t="s">
        <v>119</v>
      </c>
      <c r="E32" s="111"/>
      <c r="F32" s="124"/>
      <c r="G32" s="111" t="s">
        <v>119</v>
      </c>
      <c r="H32" s="111"/>
      <c r="I32" s="124"/>
    </row>
    <row r="33" spans="1:9" ht="15" customHeight="1">
      <c r="A33" s="126" t="s">
        <v>119</v>
      </c>
      <c r="B33" s="111"/>
      <c r="C33" s="124"/>
      <c r="D33" s="111" t="s">
        <v>119</v>
      </c>
      <c r="E33" s="111"/>
      <c r="F33" s="124"/>
      <c r="G33" s="111" t="s">
        <v>119</v>
      </c>
      <c r="H33" s="111"/>
      <c r="I33" s="124"/>
    </row>
    <row r="34" spans="1:9" ht="15" customHeight="1">
      <c r="A34" s="126" t="s">
        <v>119</v>
      </c>
      <c r="B34" s="111"/>
      <c r="C34" s="124"/>
      <c r="D34" s="111" t="s">
        <v>119</v>
      </c>
      <c r="E34" s="111"/>
      <c r="F34" s="124"/>
      <c r="G34" s="111" t="s">
        <v>119</v>
      </c>
      <c r="H34" s="111"/>
      <c r="I34" s="124"/>
    </row>
    <row r="35" spans="1:9" ht="15" customHeight="1">
      <c r="A35" s="119" t="s">
        <v>37</v>
      </c>
      <c r="B35" s="120"/>
      <c r="C35" s="121"/>
      <c r="D35" s="120" t="s">
        <v>37</v>
      </c>
      <c r="E35" s="120"/>
      <c r="F35" s="121"/>
      <c r="G35" s="120" t="s">
        <v>37</v>
      </c>
      <c r="H35" s="120"/>
      <c r="I35" s="121"/>
    </row>
    <row r="36" ht="15" customHeight="1">
      <c r="A36" s="25" t="s">
        <v>14</v>
      </c>
    </row>
    <row r="37" spans="1:9" ht="12.75" customHeight="1">
      <c r="A37" s="74" t="s">
        <v>119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7" defaultRowHeight="15" customHeight="1"/>
  <cols>
    <col min="1" max="1" width="12.796875" style="0" customWidth="1"/>
    <col min="2" max="2" width="18" style="0" customWidth="1"/>
    <col min="3" max="3" width="32" style="0" customWidth="1"/>
    <col min="4" max="4" width="14" style="0" customWidth="1"/>
    <col min="5" max="5" width="19.59765625" style="0" customWidth="1"/>
    <col min="6" max="6" width="32" style="0" customWidth="1"/>
    <col min="7" max="7" width="12.796875" style="0" customWidth="1"/>
    <col min="8" max="8" width="24" style="0" customWidth="1"/>
    <col min="9" max="9" width="32" style="0" customWidth="1"/>
  </cols>
  <sheetData>
    <row r="1" spans="1:9" ht="54.75" customHeight="1">
      <c r="A1" s="95" t="s">
        <v>30</v>
      </c>
      <c r="B1" s="65"/>
      <c r="C1" s="65"/>
      <c r="D1" s="65"/>
      <c r="E1" s="65"/>
      <c r="F1" s="65"/>
      <c r="G1" s="65"/>
      <c r="H1" s="65"/>
      <c r="I1" s="65"/>
    </row>
    <row r="2" spans="1:9" ht="15" customHeight="1">
      <c r="A2" s="66" t="s">
        <v>11</v>
      </c>
      <c r="B2" s="67"/>
      <c r="C2" s="81" t="str">
        <f>'Vykaz vymer plyn'!C2</f>
        <v>12. ZŠ  Mikoláše  Alše  558  Zlín,  Podhoří</v>
      </c>
      <c r="D2" s="82"/>
      <c r="E2" s="71" t="s">
        <v>149</v>
      </c>
      <c r="F2" s="71" t="str">
        <f>'Vykaz vymer plyn'!K2</f>
        <v>STATUTÁRNÍ MĚSTO ZLÍN</v>
      </c>
      <c r="G2" s="67"/>
      <c r="H2" s="71" t="s">
        <v>109</v>
      </c>
      <c r="I2" s="76" t="s">
        <v>119</v>
      </c>
    </row>
    <row r="3" spans="1:9" ht="15" customHeight="1">
      <c r="A3" s="68"/>
      <c r="B3" s="69"/>
      <c r="C3" s="83"/>
      <c r="D3" s="83"/>
      <c r="E3" s="69"/>
      <c r="F3" s="69"/>
      <c r="G3" s="69"/>
      <c r="H3" s="69"/>
      <c r="I3" s="77"/>
    </row>
    <row r="4" spans="1:9" ht="15" customHeight="1">
      <c r="A4" s="70" t="s">
        <v>97</v>
      </c>
      <c r="B4" s="69"/>
      <c r="C4" s="74" t="str">
        <f>'Vykaz vymer plyn'!C4</f>
        <v>REKONSTRUKCE PLYNOVÉ KOTELNY - vnitřní plynoinstalace</v>
      </c>
      <c r="D4" s="69"/>
      <c r="E4" s="74" t="s">
        <v>118</v>
      </c>
      <c r="F4" s="74" t="str">
        <f>'Vykaz vymer plyn'!K4</f>
        <v>ing. Rudolf Ženožička</v>
      </c>
      <c r="G4" s="69"/>
      <c r="H4" s="74" t="s">
        <v>109</v>
      </c>
      <c r="I4" s="77" t="s">
        <v>119</v>
      </c>
    </row>
    <row r="5" spans="1:9" ht="15" customHeight="1">
      <c r="A5" s="68"/>
      <c r="B5" s="69"/>
      <c r="C5" s="69"/>
      <c r="D5" s="69"/>
      <c r="E5" s="69"/>
      <c r="F5" s="69"/>
      <c r="G5" s="69"/>
      <c r="H5" s="69"/>
      <c r="I5" s="77"/>
    </row>
    <row r="6" spans="1:9" ht="15" customHeight="1">
      <c r="A6" s="70" t="s">
        <v>15</v>
      </c>
      <c r="B6" s="69"/>
      <c r="C6" s="74" t="str">
        <f>'Vykaz vymer plyn'!C6</f>
        <v> </v>
      </c>
      <c r="D6" s="69"/>
      <c r="E6" s="74" t="s">
        <v>155</v>
      </c>
      <c r="F6" s="74" t="str">
        <f>'Vykaz vymer plyn'!K6</f>
        <v>THERMPROJEKT s.r.o. Zlín</v>
      </c>
      <c r="G6" s="69"/>
      <c r="H6" s="74" t="s">
        <v>109</v>
      </c>
      <c r="I6" s="77" t="s">
        <v>119</v>
      </c>
    </row>
    <row r="7" spans="1:9" ht="15" customHeight="1">
      <c r="A7" s="68"/>
      <c r="B7" s="69"/>
      <c r="C7" s="69"/>
      <c r="D7" s="69"/>
      <c r="E7" s="69"/>
      <c r="F7" s="69"/>
      <c r="G7" s="69"/>
      <c r="H7" s="69"/>
      <c r="I7" s="77"/>
    </row>
    <row r="8" spans="1:9" ht="15" customHeight="1">
      <c r="A8" s="70" t="s">
        <v>157</v>
      </c>
      <c r="B8" s="69"/>
      <c r="C8" s="74" t="str">
        <f>'Vykaz vymer plyn'!I4</f>
        <v>01.07.2024</v>
      </c>
      <c r="D8" s="69"/>
      <c r="E8" s="74" t="s">
        <v>56</v>
      </c>
      <c r="F8" s="74" t="str">
        <f>'Vykaz vymer plyn'!I6</f>
        <v>31.08.2024</v>
      </c>
      <c r="G8" s="69"/>
      <c r="H8" s="69" t="s">
        <v>175</v>
      </c>
      <c r="I8" s="98">
        <v>25</v>
      </c>
    </row>
    <row r="9" spans="1:9" ht="15" customHeight="1">
      <c r="A9" s="68"/>
      <c r="B9" s="69"/>
      <c r="C9" s="69"/>
      <c r="D9" s="69"/>
      <c r="E9" s="69"/>
      <c r="F9" s="69"/>
      <c r="G9" s="69"/>
      <c r="H9" s="69"/>
      <c r="I9" s="77"/>
    </row>
    <row r="10" spans="1:9" ht="15" customHeight="1">
      <c r="A10" s="70" t="s">
        <v>90</v>
      </c>
      <c r="B10" s="69"/>
      <c r="C10" s="74" t="str">
        <f>'Vykaz vymer plyn'!C8</f>
        <v> </v>
      </c>
      <c r="D10" s="69"/>
      <c r="E10" s="74" t="s">
        <v>113</v>
      </c>
      <c r="F10" s="74" t="str">
        <f>'Vykaz vymer plyn'!K8</f>
        <v>ing. Ženožička</v>
      </c>
      <c r="G10" s="69"/>
      <c r="H10" s="69" t="s">
        <v>169</v>
      </c>
      <c r="I10" s="99" t="str">
        <f>'Vykaz vymer plyn'!I8</f>
        <v>05.01.2024</v>
      </c>
    </row>
    <row r="11" spans="1:9" ht="15" customHeight="1">
      <c r="A11" s="96"/>
      <c r="B11" s="97"/>
      <c r="C11" s="97"/>
      <c r="D11" s="97"/>
      <c r="E11" s="97"/>
      <c r="F11" s="97"/>
      <c r="G11" s="97"/>
      <c r="H11" s="97"/>
      <c r="I11" s="78"/>
    </row>
    <row r="13" spans="1:5" ht="15.75" customHeight="1">
      <c r="A13" s="127" t="s">
        <v>72</v>
      </c>
      <c r="B13" s="127"/>
      <c r="C13" s="127"/>
      <c r="D13" s="127"/>
      <c r="E13" s="127"/>
    </row>
    <row r="14" spans="1:9" ht="15" customHeight="1">
      <c r="A14" s="128" t="s">
        <v>193</v>
      </c>
      <c r="B14" s="129"/>
      <c r="C14" s="129"/>
      <c r="D14" s="129"/>
      <c r="E14" s="130"/>
      <c r="F14" s="20" t="s">
        <v>180</v>
      </c>
      <c r="G14" s="20" t="s">
        <v>156</v>
      </c>
      <c r="H14" s="20" t="s">
        <v>43</v>
      </c>
      <c r="I14" s="20" t="s">
        <v>180</v>
      </c>
    </row>
    <row r="15" spans="1:9" ht="15" customHeight="1">
      <c r="A15" s="96" t="s">
        <v>125</v>
      </c>
      <c r="B15" s="97"/>
      <c r="C15" s="97"/>
      <c r="D15" s="97"/>
      <c r="E15" s="78"/>
      <c r="F15" s="36">
        <v>0</v>
      </c>
      <c r="G15" s="12" t="s">
        <v>119</v>
      </c>
      <c r="H15" s="12" t="s">
        <v>119</v>
      </c>
      <c r="I15" s="36">
        <f>F15</f>
        <v>0</v>
      </c>
    </row>
    <row r="16" spans="1:9" ht="15" customHeight="1">
      <c r="A16" s="96" t="s">
        <v>19</v>
      </c>
      <c r="B16" s="97"/>
      <c r="C16" s="97"/>
      <c r="D16" s="97"/>
      <c r="E16" s="78"/>
      <c r="F16" s="36">
        <v>0</v>
      </c>
      <c r="G16" s="12" t="s">
        <v>119</v>
      </c>
      <c r="H16" s="12" t="s">
        <v>119</v>
      </c>
      <c r="I16" s="36">
        <f>F16</f>
        <v>0</v>
      </c>
    </row>
    <row r="17" spans="1:9" ht="15" customHeight="1">
      <c r="A17" s="68" t="s">
        <v>130</v>
      </c>
      <c r="B17" s="69"/>
      <c r="C17" s="69"/>
      <c r="D17" s="69"/>
      <c r="E17" s="77"/>
      <c r="F17" s="4">
        <v>0</v>
      </c>
      <c r="G17" s="17" t="s">
        <v>119</v>
      </c>
      <c r="H17" s="17" t="s">
        <v>119</v>
      </c>
      <c r="I17" s="4">
        <f>F17</f>
        <v>0</v>
      </c>
    </row>
    <row r="18" spans="1:9" ht="15" customHeight="1">
      <c r="A18" s="131" t="s">
        <v>187</v>
      </c>
      <c r="B18" s="132"/>
      <c r="C18" s="132"/>
      <c r="D18" s="132"/>
      <c r="E18" s="133"/>
      <c r="F18" s="19" t="s">
        <v>119</v>
      </c>
      <c r="G18" s="3" t="s">
        <v>119</v>
      </c>
      <c r="H18" s="3" t="s">
        <v>119</v>
      </c>
      <c r="I18" s="29">
        <f>SUM(I15:I17)</f>
        <v>0</v>
      </c>
    </row>
    <row r="20" spans="1:9" ht="15" customHeight="1">
      <c r="A20" s="128" t="s">
        <v>34</v>
      </c>
      <c r="B20" s="129"/>
      <c r="C20" s="129"/>
      <c r="D20" s="129"/>
      <c r="E20" s="130"/>
      <c r="F20" s="20" t="s">
        <v>180</v>
      </c>
      <c r="G20" s="20" t="s">
        <v>156</v>
      </c>
      <c r="H20" s="20" t="s">
        <v>43</v>
      </c>
      <c r="I20" s="20" t="s">
        <v>180</v>
      </c>
    </row>
    <row r="21" spans="1:9" ht="15" customHeight="1">
      <c r="A21" s="96" t="s">
        <v>23</v>
      </c>
      <c r="B21" s="97"/>
      <c r="C21" s="97"/>
      <c r="D21" s="97"/>
      <c r="E21" s="78"/>
      <c r="F21" s="12" t="s">
        <v>119</v>
      </c>
      <c r="G21" s="36">
        <v>2.4</v>
      </c>
      <c r="H21" s="36">
        <f>'Krycí list plyn'!C22</f>
        <v>0</v>
      </c>
      <c r="I21" s="36">
        <f>ROUND((G21/100)*H21,2)</f>
        <v>0</v>
      </c>
    </row>
    <row r="22" spans="1:9" ht="15" customHeight="1">
      <c r="A22" s="96" t="s">
        <v>142</v>
      </c>
      <c r="B22" s="97"/>
      <c r="C22" s="97"/>
      <c r="D22" s="97"/>
      <c r="E22" s="78"/>
      <c r="F22" s="36">
        <v>0</v>
      </c>
      <c r="G22" s="12" t="s">
        <v>119</v>
      </c>
      <c r="H22" s="12" t="s">
        <v>119</v>
      </c>
      <c r="I22" s="36">
        <f>F22</f>
        <v>0</v>
      </c>
    </row>
    <row r="23" spans="1:9" ht="15" customHeight="1">
      <c r="A23" s="96" t="s">
        <v>167</v>
      </c>
      <c r="B23" s="97"/>
      <c r="C23" s="97"/>
      <c r="D23" s="97"/>
      <c r="E23" s="78"/>
      <c r="F23" s="36">
        <v>0</v>
      </c>
      <c r="G23" s="12" t="s">
        <v>119</v>
      </c>
      <c r="H23" s="12" t="s">
        <v>119</v>
      </c>
      <c r="I23" s="36">
        <f>F23</f>
        <v>0</v>
      </c>
    </row>
    <row r="24" spans="1:9" ht="15" customHeight="1">
      <c r="A24" s="96" t="s">
        <v>94</v>
      </c>
      <c r="B24" s="97"/>
      <c r="C24" s="97"/>
      <c r="D24" s="97"/>
      <c r="E24" s="78"/>
      <c r="F24" s="36">
        <v>0</v>
      </c>
      <c r="G24" s="12" t="s">
        <v>119</v>
      </c>
      <c r="H24" s="12" t="s">
        <v>119</v>
      </c>
      <c r="I24" s="36">
        <f>F24</f>
        <v>0</v>
      </c>
    </row>
    <row r="25" spans="1:9" ht="15" customHeight="1">
      <c r="A25" s="96" t="s">
        <v>110</v>
      </c>
      <c r="B25" s="97"/>
      <c r="C25" s="97"/>
      <c r="D25" s="97"/>
      <c r="E25" s="78"/>
      <c r="F25" s="36">
        <v>0</v>
      </c>
      <c r="G25" s="12" t="s">
        <v>119</v>
      </c>
      <c r="H25" s="12" t="s">
        <v>119</v>
      </c>
      <c r="I25" s="36">
        <f>F25</f>
        <v>0</v>
      </c>
    </row>
    <row r="26" spans="1:9" ht="15" customHeight="1">
      <c r="A26" s="68" t="s">
        <v>171</v>
      </c>
      <c r="B26" s="69"/>
      <c r="C26" s="69"/>
      <c r="D26" s="69"/>
      <c r="E26" s="77"/>
      <c r="F26" s="4">
        <v>0</v>
      </c>
      <c r="G26" s="17" t="s">
        <v>119</v>
      </c>
      <c r="H26" s="17" t="s">
        <v>119</v>
      </c>
      <c r="I26" s="4">
        <f>F26</f>
        <v>0</v>
      </c>
    </row>
    <row r="27" spans="1:9" ht="15" customHeight="1">
      <c r="A27" s="131" t="s">
        <v>77</v>
      </c>
      <c r="B27" s="132"/>
      <c r="C27" s="132"/>
      <c r="D27" s="132"/>
      <c r="E27" s="133"/>
      <c r="F27" s="19" t="s">
        <v>119</v>
      </c>
      <c r="G27" s="3" t="s">
        <v>119</v>
      </c>
      <c r="H27" s="3" t="s">
        <v>119</v>
      </c>
      <c r="I27" s="29">
        <f>SUM(I21:I26)</f>
        <v>0</v>
      </c>
    </row>
    <row r="29" spans="1:9" ht="15.75" customHeight="1">
      <c r="A29" s="134" t="s">
        <v>183</v>
      </c>
      <c r="B29" s="135"/>
      <c r="C29" s="135"/>
      <c r="D29" s="135"/>
      <c r="E29" s="136"/>
      <c r="F29" s="137">
        <f>I18+I27</f>
        <v>0</v>
      </c>
      <c r="G29" s="138"/>
      <c r="H29" s="138"/>
      <c r="I29" s="139"/>
    </row>
    <row r="33" spans="1:5" ht="15.75" customHeight="1">
      <c r="A33" s="127" t="s">
        <v>178</v>
      </c>
      <c r="B33" s="127"/>
      <c r="C33" s="127"/>
      <c r="D33" s="127"/>
      <c r="E33" s="127"/>
    </row>
    <row r="34" spans="1:9" ht="15" customHeight="1">
      <c r="A34" s="128" t="s">
        <v>186</v>
      </c>
      <c r="B34" s="129"/>
      <c r="C34" s="129"/>
      <c r="D34" s="129"/>
      <c r="E34" s="130"/>
      <c r="F34" s="20" t="s">
        <v>180</v>
      </c>
      <c r="G34" s="20" t="s">
        <v>156</v>
      </c>
      <c r="H34" s="20" t="s">
        <v>43</v>
      </c>
      <c r="I34" s="20" t="s">
        <v>180</v>
      </c>
    </row>
    <row r="35" spans="1:9" ht="15" customHeight="1">
      <c r="A35" s="68" t="s">
        <v>119</v>
      </c>
      <c r="B35" s="69"/>
      <c r="C35" s="69"/>
      <c r="D35" s="69"/>
      <c r="E35" s="77"/>
      <c r="F35" s="4">
        <v>0</v>
      </c>
      <c r="G35" s="17" t="s">
        <v>119</v>
      </c>
      <c r="H35" s="17" t="s">
        <v>119</v>
      </c>
      <c r="I35" s="4">
        <f>F35</f>
        <v>0</v>
      </c>
    </row>
    <row r="36" spans="1:9" ht="15" customHeight="1">
      <c r="A36" s="131" t="s">
        <v>66</v>
      </c>
      <c r="B36" s="132"/>
      <c r="C36" s="132"/>
      <c r="D36" s="132"/>
      <c r="E36" s="133"/>
      <c r="F36" s="19" t="s">
        <v>119</v>
      </c>
      <c r="G36" s="3" t="s">
        <v>119</v>
      </c>
      <c r="H36" s="3" t="s">
        <v>119</v>
      </c>
      <c r="I36" s="29">
        <f>SUM(I35:I35)</f>
        <v>0</v>
      </c>
    </row>
  </sheetData>
  <sheetProtection/>
  <mergeCells count="51">
    <mergeCell ref="F29:I29"/>
    <mergeCell ref="A33:E33"/>
    <mergeCell ref="A34:E34"/>
    <mergeCell ref="A35:E35"/>
    <mergeCell ref="A22:E22"/>
    <mergeCell ref="A23:E23"/>
    <mergeCell ref="A24:E24"/>
    <mergeCell ref="A25:E25"/>
    <mergeCell ref="A26:E26"/>
    <mergeCell ref="A36:E36"/>
    <mergeCell ref="A27:E27"/>
    <mergeCell ref="A29:E29"/>
    <mergeCell ref="A15:E15"/>
    <mergeCell ref="A16:E16"/>
    <mergeCell ref="A17:E17"/>
    <mergeCell ref="A18:E18"/>
    <mergeCell ref="A20:E20"/>
    <mergeCell ref="A21:E21"/>
    <mergeCell ref="A13:E13"/>
    <mergeCell ref="C2:D3"/>
    <mergeCell ref="C4:D5"/>
    <mergeCell ref="C6:D7"/>
    <mergeCell ref="C8:D9"/>
    <mergeCell ref="A14:E14"/>
    <mergeCell ref="F10:G11"/>
    <mergeCell ref="E10:E11"/>
    <mergeCell ref="I2:I3"/>
    <mergeCell ref="I4:I5"/>
    <mergeCell ref="I6:I7"/>
    <mergeCell ref="I8:I9"/>
    <mergeCell ref="I10:I11"/>
    <mergeCell ref="A1:I1"/>
    <mergeCell ref="A2:B3"/>
    <mergeCell ref="A4:B5"/>
    <mergeCell ref="A6:B7"/>
    <mergeCell ref="A8:B9"/>
    <mergeCell ref="C10:D11"/>
    <mergeCell ref="F2:G3"/>
    <mergeCell ref="F4:G5"/>
    <mergeCell ref="F6:G7"/>
    <mergeCell ref="F8:G9"/>
    <mergeCell ref="A10:B11"/>
    <mergeCell ref="E2:E3"/>
    <mergeCell ref="E4:E5"/>
    <mergeCell ref="E6:E7"/>
    <mergeCell ref="E8:E9"/>
    <mergeCell ref="H2:H3"/>
    <mergeCell ref="H4:H5"/>
    <mergeCell ref="H6:H7"/>
    <mergeCell ref="H8:H9"/>
    <mergeCell ref="H10:H11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Tomáš Sýkora</cp:lastModifiedBy>
  <dcterms:created xsi:type="dcterms:W3CDTF">2021-06-10T20:06:38Z</dcterms:created>
  <dcterms:modified xsi:type="dcterms:W3CDTF">2024-03-04T18:43:56Z</dcterms:modified>
  <cp:category/>
  <cp:version/>
  <cp:contentType/>
  <cp:contentStatus/>
</cp:coreProperties>
</file>